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zuzic\Documents\REGISTAR UGOVORA\Registar ugovora 2015\"/>
    </mc:Choice>
  </mc:AlternateContent>
  <bookViews>
    <workbookView xWindow="0" yWindow="0" windowWidth="25200" windowHeight="11985" tabRatio="821"/>
  </bookViews>
  <sheets>
    <sheet name="Uredski materijal" sheetId="19" r:id="rId1"/>
    <sheet name="Potrošni materijal" sheetId="13" r:id="rId2"/>
    <sheet name="Računala i računalna oprema" sheetId="18" r:id="rId3"/>
    <sheet name="Usluge u pokretnoj mreži i opr." sheetId="17" r:id="rId4"/>
    <sheet name="Motorna vozila" sheetId="23" r:id="rId5"/>
    <sheet name="Gume za vozila" sheetId="16" r:id="rId6"/>
    <sheet name="Gorivo" sheetId="1" r:id="rId7"/>
    <sheet name="Opskrba elek. energijom" sheetId="20" r:id="rId8"/>
    <sheet name="Poštanske usluge" sheetId="21" r:id="rId9"/>
    <sheet name="Usluge osiguranja" sheetId="22" r:id="rId10"/>
    <sheet name="Licence" sheetId="15" r:id="rId11"/>
    <sheet name="Usluge čišćenja prostorija" sheetId="14" r:id="rId12"/>
  </sheets>
  <definedNames>
    <definedName name="_xlnm.Print_Titles" localSheetId="6">Gorivo!$7:$7</definedName>
    <definedName name="_xlnm.Print_Titles" localSheetId="5">'Gume za vozila'!$7:$7</definedName>
    <definedName name="_xlnm.Print_Titles" localSheetId="10">Licence!$7:$7</definedName>
    <definedName name="_xlnm.Print_Titles" localSheetId="4">'Motorna vozila'!$7:$7</definedName>
    <definedName name="_xlnm.Print_Titles" localSheetId="7">'Opskrba elek. energijom'!$7:$7</definedName>
    <definedName name="_xlnm.Print_Titles" localSheetId="8">'Poštanske usluge'!$7:$7</definedName>
    <definedName name="_xlnm.Print_Titles" localSheetId="1">'Potrošni materijal'!$7:$7</definedName>
    <definedName name="_xlnm.Print_Titles" localSheetId="2">'Računala i računalna oprema'!$7:$7</definedName>
    <definedName name="_xlnm.Print_Titles" localSheetId="0">'Uredski materijal'!$7:$7</definedName>
    <definedName name="_xlnm.Print_Titles" localSheetId="11">'Usluge čišćenja prostorija'!$7:$7</definedName>
    <definedName name="_xlnm.Print_Titles" localSheetId="9">'Usluge osiguranja'!$7:$7</definedName>
    <definedName name="_xlnm.Print_Titles" localSheetId="3">'Usluge u pokretnoj mreži i opr.'!$7:$7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1" l="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8" i="21"/>
  <c r="C56" i="23" l="1"/>
  <c r="D56" i="23"/>
  <c r="J56" i="23"/>
  <c r="J9" i="17" l="1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8" i="17"/>
  <c r="D80" i="18" l="1"/>
  <c r="D48" i="18"/>
  <c r="J8" i="23" l="1"/>
  <c r="J16" i="23"/>
  <c r="J25" i="23"/>
  <c r="J26" i="23"/>
  <c r="J24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7" i="23"/>
  <c r="J58" i="23"/>
  <c r="J59" i="23"/>
  <c r="J60" i="23"/>
  <c r="J69" i="23"/>
  <c r="J68" i="23"/>
  <c r="J78" i="23"/>
  <c r="J79" i="23"/>
  <c r="J80" i="23"/>
  <c r="J81" i="23"/>
  <c r="J82" i="23"/>
  <c r="J83" i="23"/>
  <c r="J84" i="23"/>
  <c r="J85" i="23"/>
  <c r="J86" i="23"/>
  <c r="J87" i="23"/>
  <c r="J88" i="23"/>
  <c r="J77" i="23"/>
  <c r="J97" i="23"/>
  <c r="J96" i="23"/>
  <c r="D97" i="23"/>
  <c r="D96" i="23"/>
  <c r="C97" i="23"/>
  <c r="C96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D69" i="23"/>
  <c r="D68" i="23"/>
  <c r="C69" i="23"/>
  <c r="C68" i="23"/>
  <c r="D60" i="23"/>
  <c r="D59" i="23"/>
  <c r="D58" i="23"/>
  <c r="D57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C60" i="23"/>
  <c r="C59" i="23"/>
  <c r="C58" i="23"/>
  <c r="C57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D26" i="23"/>
  <c r="D25" i="23"/>
  <c r="D24" i="23"/>
  <c r="C26" i="23"/>
  <c r="C25" i="23"/>
  <c r="C24" i="23"/>
  <c r="D16" i="23"/>
  <c r="C16" i="23"/>
  <c r="D8" i="23"/>
  <c r="C8" i="23"/>
  <c r="J517" i="22"/>
  <c r="J518" i="22"/>
  <c r="J519" i="22"/>
  <c r="J520" i="22"/>
  <c r="J521" i="22"/>
  <c r="J522" i="22"/>
  <c r="J523" i="22"/>
  <c r="J524" i="22"/>
  <c r="J525" i="22"/>
  <c r="J526" i="22"/>
  <c r="J527" i="22"/>
  <c r="J528" i="22"/>
  <c r="J529" i="22"/>
  <c r="J530" i="22"/>
  <c r="J531" i="22"/>
  <c r="J532" i="22"/>
  <c r="J533" i="22"/>
  <c r="J534" i="22"/>
  <c r="J535" i="22"/>
  <c r="J536" i="22"/>
  <c r="J537" i="22"/>
  <c r="J538" i="22"/>
  <c r="J539" i="22"/>
  <c r="J540" i="22"/>
  <c r="J541" i="22"/>
  <c r="J542" i="22"/>
  <c r="J543" i="22"/>
  <c r="J544" i="22"/>
  <c r="J545" i="22"/>
  <c r="J546" i="22"/>
  <c r="J547" i="22"/>
  <c r="J548" i="22"/>
  <c r="J549" i="22"/>
  <c r="J550" i="22"/>
  <c r="J551" i="22"/>
  <c r="J552" i="22"/>
  <c r="J553" i="22"/>
  <c r="J554" i="22"/>
  <c r="J555" i="22"/>
  <c r="J556" i="22"/>
  <c r="J557" i="22"/>
  <c r="J558" i="22"/>
  <c r="J559" i="22"/>
  <c r="J560" i="22"/>
  <c r="J561" i="22"/>
  <c r="J562" i="22"/>
  <c r="J563" i="22"/>
  <c r="J564" i="22"/>
  <c r="J565" i="22"/>
  <c r="J566" i="22"/>
  <c r="J567" i="22"/>
  <c r="J568" i="22"/>
  <c r="J569" i="22"/>
  <c r="J570" i="22"/>
  <c r="J571" i="22"/>
  <c r="J572" i="22"/>
  <c r="J573" i="22"/>
  <c r="J574" i="22"/>
  <c r="J575" i="22"/>
  <c r="J576" i="22"/>
  <c r="J577" i="22"/>
  <c r="J578" i="22"/>
  <c r="J579" i="22"/>
  <c r="J580" i="22"/>
  <c r="J581" i="22"/>
  <c r="J582" i="22"/>
  <c r="J583" i="22"/>
  <c r="J584" i="22"/>
  <c r="J585" i="22"/>
  <c r="J586" i="22"/>
  <c r="J587" i="22"/>
  <c r="J588" i="22"/>
  <c r="J589" i="22"/>
  <c r="J590" i="22"/>
  <c r="J591" i="22"/>
  <c r="J592" i="22"/>
  <c r="J593" i="22"/>
  <c r="J594" i="22"/>
  <c r="J595" i="22"/>
  <c r="J596" i="22"/>
  <c r="J597" i="22"/>
  <c r="J598" i="22"/>
  <c r="J599" i="22"/>
  <c r="J600" i="22"/>
  <c r="J601" i="22"/>
  <c r="J602" i="22"/>
  <c r="J603" i="22"/>
  <c r="J604" i="22"/>
  <c r="J605" i="22"/>
  <c r="J606" i="22"/>
  <c r="J607" i="22"/>
  <c r="J608" i="22"/>
  <c r="J609" i="22"/>
  <c r="J610" i="22"/>
  <c r="J611" i="22"/>
  <c r="J612" i="22"/>
  <c r="J613" i="22"/>
  <c r="J614" i="22"/>
  <c r="J615" i="22"/>
  <c r="J616" i="22"/>
  <c r="J617" i="22"/>
  <c r="J618" i="22"/>
  <c r="J619" i="22"/>
  <c r="J620" i="22"/>
  <c r="J621" i="22"/>
  <c r="J622" i="22"/>
  <c r="J623" i="22"/>
  <c r="J624" i="22"/>
  <c r="J625" i="22"/>
  <c r="J626" i="22"/>
  <c r="J627" i="22"/>
  <c r="J628" i="22"/>
  <c r="J629" i="22"/>
  <c r="J630" i="22"/>
  <c r="J631" i="22"/>
  <c r="J632" i="22"/>
  <c r="J633" i="22"/>
  <c r="J634" i="22"/>
  <c r="J635" i="22"/>
  <c r="J636" i="22"/>
  <c r="J637" i="22"/>
  <c r="J638" i="22"/>
  <c r="J639" i="22"/>
  <c r="J640" i="22"/>
  <c r="J641" i="22"/>
  <c r="J642" i="22"/>
  <c r="J643" i="22"/>
  <c r="J644" i="22"/>
  <c r="J645" i="22"/>
  <c r="J646" i="22"/>
  <c r="J647" i="22"/>
  <c r="J648" i="22"/>
  <c r="J649" i="22"/>
  <c r="J650" i="22"/>
  <c r="J651" i="22"/>
  <c r="J652" i="22"/>
  <c r="J653" i="22"/>
  <c r="J654" i="22"/>
  <c r="J655" i="22"/>
  <c r="J656" i="22"/>
  <c r="J657" i="22"/>
  <c r="J658" i="22"/>
  <c r="J659" i="22"/>
  <c r="J660" i="22"/>
  <c r="J661" i="22"/>
  <c r="J662" i="22"/>
  <c r="J663" i="22"/>
  <c r="J664" i="22"/>
  <c r="J665" i="22"/>
  <c r="J666" i="22"/>
  <c r="J667" i="22"/>
  <c r="J668" i="22"/>
  <c r="J669" i="22"/>
  <c r="J670" i="22"/>
  <c r="J671" i="22"/>
  <c r="J672" i="22"/>
  <c r="J673" i="22"/>
  <c r="J674" i="22"/>
  <c r="J675" i="22"/>
  <c r="J676" i="22"/>
  <c r="J677" i="22"/>
  <c r="J678" i="22"/>
  <c r="J679" i="22"/>
  <c r="J680" i="22"/>
  <c r="J681" i="22"/>
  <c r="J682" i="22"/>
  <c r="J683" i="22"/>
  <c r="J684" i="22"/>
  <c r="J685" i="22"/>
  <c r="J686" i="22"/>
  <c r="J516" i="22"/>
  <c r="D686" i="22"/>
  <c r="D685" i="22"/>
  <c r="D684" i="22"/>
  <c r="D683" i="22"/>
  <c r="D682" i="22"/>
  <c r="D681" i="22"/>
  <c r="D680" i="22"/>
  <c r="D679" i="22"/>
  <c r="D678" i="22"/>
  <c r="D677" i="22"/>
  <c r="D676" i="22"/>
  <c r="D675" i="22"/>
  <c r="D674" i="22"/>
  <c r="D673" i="22"/>
  <c r="D672" i="22"/>
  <c r="D671" i="22"/>
  <c r="D670" i="22"/>
  <c r="D669" i="22"/>
  <c r="D668" i="22"/>
  <c r="D667" i="22"/>
  <c r="D666" i="22"/>
  <c r="D665" i="22"/>
  <c r="D664" i="22"/>
  <c r="D663" i="22"/>
  <c r="D662" i="22"/>
  <c r="D661" i="22"/>
  <c r="D660" i="22"/>
  <c r="D659" i="22"/>
  <c r="D658" i="22"/>
  <c r="D657" i="22"/>
  <c r="D656" i="22"/>
  <c r="D655" i="22"/>
  <c r="D654" i="22"/>
  <c r="D653" i="22"/>
  <c r="D652" i="22"/>
  <c r="D651" i="22"/>
  <c r="D650" i="22"/>
  <c r="D649" i="22"/>
  <c r="D648" i="22"/>
  <c r="D647" i="22"/>
  <c r="D646" i="22"/>
  <c r="D645" i="22"/>
  <c r="D644" i="22"/>
  <c r="D643" i="22"/>
  <c r="D642" i="22"/>
  <c r="D641" i="22"/>
  <c r="D640" i="22"/>
  <c r="D639" i="22"/>
  <c r="D638" i="22"/>
  <c r="D637" i="22"/>
  <c r="D636" i="22"/>
  <c r="D635" i="22"/>
  <c r="D634" i="22"/>
  <c r="D633" i="22"/>
  <c r="D632" i="22"/>
  <c r="D631" i="22"/>
  <c r="D630" i="22"/>
  <c r="D629" i="22"/>
  <c r="D628" i="22"/>
  <c r="D627" i="22"/>
  <c r="D626" i="22"/>
  <c r="D625" i="22"/>
  <c r="D624" i="22"/>
  <c r="D623" i="22"/>
  <c r="D622" i="22"/>
  <c r="D621" i="22"/>
  <c r="D620" i="22"/>
  <c r="D619" i="22"/>
  <c r="D618" i="22"/>
  <c r="D617" i="22"/>
  <c r="D616" i="22"/>
  <c r="D615" i="22"/>
  <c r="D614" i="22"/>
  <c r="D613" i="22"/>
  <c r="D612" i="22"/>
  <c r="D611" i="22"/>
  <c r="D610" i="22"/>
  <c r="D609" i="22"/>
  <c r="D608" i="22"/>
  <c r="D607" i="22"/>
  <c r="D606" i="22"/>
  <c r="D605" i="22"/>
  <c r="D604" i="22"/>
  <c r="D603" i="22"/>
  <c r="D602" i="22"/>
  <c r="D601" i="22"/>
  <c r="D600" i="22"/>
  <c r="D599" i="22"/>
  <c r="D598" i="22"/>
  <c r="D597" i="22"/>
  <c r="D596" i="22"/>
  <c r="D595" i="22"/>
  <c r="D594" i="22"/>
  <c r="D593" i="22"/>
  <c r="D592" i="22"/>
  <c r="D591" i="22"/>
  <c r="D590" i="22"/>
  <c r="D589" i="22"/>
  <c r="D588" i="22"/>
  <c r="D587" i="22"/>
  <c r="D586" i="22"/>
  <c r="D585" i="22"/>
  <c r="D584" i="22"/>
  <c r="D583" i="22"/>
  <c r="D582" i="22"/>
  <c r="D581" i="22"/>
  <c r="D580" i="22"/>
  <c r="D579" i="22"/>
  <c r="D578" i="22"/>
  <c r="D577" i="22"/>
  <c r="D576" i="22"/>
  <c r="D575" i="22"/>
  <c r="D574" i="22"/>
  <c r="D573" i="22"/>
  <c r="D572" i="22"/>
  <c r="D571" i="22"/>
  <c r="D570" i="22"/>
  <c r="D569" i="22"/>
  <c r="D568" i="22"/>
  <c r="D567" i="22"/>
  <c r="D566" i="22"/>
  <c r="D565" i="22"/>
  <c r="D564" i="22"/>
  <c r="D563" i="22"/>
  <c r="D562" i="22"/>
  <c r="D561" i="22"/>
  <c r="D560" i="22"/>
  <c r="D559" i="22"/>
  <c r="D558" i="22"/>
  <c r="D557" i="22"/>
  <c r="D556" i="22"/>
  <c r="D555" i="22"/>
  <c r="D554" i="22"/>
  <c r="D553" i="22"/>
  <c r="D552" i="22"/>
  <c r="D551" i="22"/>
  <c r="D550" i="22"/>
  <c r="D549" i="22"/>
  <c r="D548" i="22"/>
  <c r="D547" i="22"/>
  <c r="D546" i="22"/>
  <c r="D545" i="22"/>
  <c r="D544" i="22"/>
  <c r="D543" i="22"/>
  <c r="D542" i="22"/>
  <c r="D541" i="22"/>
  <c r="D540" i="22"/>
  <c r="D539" i="22"/>
  <c r="D538" i="22"/>
  <c r="D537" i="22"/>
  <c r="D536" i="22"/>
  <c r="D535" i="22"/>
  <c r="D534" i="22"/>
  <c r="D533" i="22"/>
  <c r="D532" i="22"/>
  <c r="D531" i="22"/>
  <c r="D530" i="22"/>
  <c r="D529" i="22"/>
  <c r="D528" i="22"/>
  <c r="D527" i="22"/>
  <c r="D526" i="22"/>
  <c r="D525" i="22"/>
  <c r="D524" i="22"/>
  <c r="D523" i="22"/>
  <c r="D522" i="22"/>
  <c r="D521" i="22"/>
  <c r="D520" i="22"/>
  <c r="D519" i="22"/>
  <c r="D518" i="22"/>
  <c r="D517" i="22"/>
  <c r="D516" i="22"/>
  <c r="C686" i="22"/>
  <c r="C685" i="22"/>
  <c r="C684" i="22"/>
  <c r="C683" i="22"/>
  <c r="C682" i="22"/>
  <c r="C681" i="22"/>
  <c r="C680" i="22"/>
  <c r="C679" i="22"/>
  <c r="C678" i="22"/>
  <c r="C677" i="22"/>
  <c r="C676" i="22"/>
  <c r="C675" i="22"/>
  <c r="C674" i="22"/>
  <c r="C673" i="22"/>
  <c r="C672" i="22"/>
  <c r="C671" i="22"/>
  <c r="C670" i="22"/>
  <c r="C669" i="22"/>
  <c r="C668" i="22"/>
  <c r="C667" i="22"/>
  <c r="C666" i="22"/>
  <c r="C665" i="22"/>
  <c r="C664" i="22"/>
  <c r="C663" i="22"/>
  <c r="C662" i="22"/>
  <c r="C661" i="22"/>
  <c r="C660" i="22"/>
  <c r="C659" i="22"/>
  <c r="C658" i="22"/>
  <c r="C657" i="22"/>
  <c r="C656" i="22"/>
  <c r="C655" i="22"/>
  <c r="C654" i="22"/>
  <c r="C653" i="22"/>
  <c r="C652" i="22"/>
  <c r="C651" i="22"/>
  <c r="C650" i="22"/>
  <c r="C649" i="22"/>
  <c r="C648" i="22"/>
  <c r="C647" i="22"/>
  <c r="C646" i="22"/>
  <c r="C645" i="22"/>
  <c r="C644" i="22"/>
  <c r="C643" i="22"/>
  <c r="C642" i="22"/>
  <c r="C641" i="22"/>
  <c r="C640" i="22"/>
  <c r="C639" i="22"/>
  <c r="C638" i="22"/>
  <c r="C637" i="22"/>
  <c r="C636" i="22"/>
  <c r="C635" i="22"/>
  <c r="C634" i="22"/>
  <c r="C633" i="22"/>
  <c r="C632" i="22"/>
  <c r="C631" i="22"/>
  <c r="C630" i="22"/>
  <c r="C629" i="22"/>
  <c r="C628" i="22"/>
  <c r="C627" i="22"/>
  <c r="C626" i="22"/>
  <c r="C625" i="22"/>
  <c r="C624" i="22"/>
  <c r="C623" i="22"/>
  <c r="C622" i="22"/>
  <c r="C621" i="22"/>
  <c r="C620" i="22"/>
  <c r="C619" i="22"/>
  <c r="C618" i="22"/>
  <c r="C617" i="22"/>
  <c r="C616" i="22"/>
  <c r="C615" i="22"/>
  <c r="C614" i="22"/>
  <c r="C613" i="22"/>
  <c r="C612" i="22"/>
  <c r="C611" i="22"/>
  <c r="C610" i="22"/>
  <c r="C609" i="22"/>
  <c r="C608" i="22"/>
  <c r="C607" i="22"/>
  <c r="C606" i="22"/>
  <c r="C605" i="22"/>
  <c r="C604" i="22"/>
  <c r="C603" i="22"/>
  <c r="C602" i="22"/>
  <c r="C601" i="22"/>
  <c r="C600" i="22"/>
  <c r="C599" i="22"/>
  <c r="C598" i="22"/>
  <c r="C597" i="22"/>
  <c r="C596" i="22"/>
  <c r="C595" i="22"/>
  <c r="C594" i="22"/>
  <c r="C593" i="22"/>
  <c r="C592" i="22"/>
  <c r="C591" i="22"/>
  <c r="C590" i="22"/>
  <c r="C589" i="22"/>
  <c r="C588" i="22"/>
  <c r="C587" i="22"/>
  <c r="C586" i="22"/>
  <c r="C585" i="22"/>
  <c r="C584" i="22"/>
  <c r="C583" i="22"/>
  <c r="C582" i="22"/>
  <c r="C581" i="22"/>
  <c r="C580" i="22"/>
  <c r="C579" i="22"/>
  <c r="C578" i="22"/>
  <c r="C577" i="22"/>
  <c r="C576" i="22"/>
  <c r="C575" i="22"/>
  <c r="C574" i="22"/>
  <c r="C573" i="22"/>
  <c r="C572" i="22"/>
  <c r="C571" i="22"/>
  <c r="C570" i="22"/>
  <c r="C569" i="22"/>
  <c r="C568" i="22"/>
  <c r="C567" i="22"/>
  <c r="C566" i="22"/>
  <c r="C565" i="22"/>
  <c r="C564" i="22"/>
  <c r="C563" i="22"/>
  <c r="C562" i="22"/>
  <c r="C561" i="22"/>
  <c r="C560" i="22"/>
  <c r="C559" i="22"/>
  <c r="C558" i="22"/>
  <c r="C557" i="22"/>
  <c r="C556" i="22"/>
  <c r="C555" i="22"/>
  <c r="C554" i="22"/>
  <c r="C553" i="22"/>
  <c r="C552" i="22"/>
  <c r="C551" i="22"/>
  <c r="C550" i="22"/>
  <c r="C549" i="22"/>
  <c r="C548" i="22"/>
  <c r="C547" i="22"/>
  <c r="C546" i="22"/>
  <c r="C545" i="22"/>
  <c r="C544" i="22"/>
  <c r="C543" i="22"/>
  <c r="C542" i="22"/>
  <c r="C541" i="22"/>
  <c r="C540" i="22"/>
  <c r="C539" i="22"/>
  <c r="C538" i="22"/>
  <c r="C537" i="22"/>
  <c r="C536" i="22"/>
  <c r="C535" i="22"/>
  <c r="C534" i="22"/>
  <c r="C533" i="22"/>
  <c r="C532" i="22"/>
  <c r="C531" i="22"/>
  <c r="C530" i="22"/>
  <c r="C529" i="22"/>
  <c r="C528" i="22"/>
  <c r="C527" i="22"/>
  <c r="C526" i="22"/>
  <c r="C525" i="22"/>
  <c r="C524" i="22"/>
  <c r="C523" i="22"/>
  <c r="C522" i="22"/>
  <c r="C521" i="22"/>
  <c r="C520" i="22"/>
  <c r="C519" i="22"/>
  <c r="C518" i="22"/>
  <c r="C517" i="22"/>
  <c r="C5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455" i="22"/>
  <c r="J456" i="22"/>
  <c r="J457" i="22"/>
  <c r="J458" i="22"/>
  <c r="J459" i="22"/>
  <c r="J460" i="22"/>
  <c r="J461" i="22"/>
  <c r="J462" i="22"/>
  <c r="J463" i="22"/>
  <c r="J464" i="22"/>
  <c r="J465" i="22"/>
  <c r="J466" i="22"/>
  <c r="J467" i="22"/>
  <c r="J468" i="22"/>
  <c r="J469" i="22"/>
  <c r="J470" i="22"/>
  <c r="J471" i="22"/>
  <c r="J472" i="22"/>
  <c r="J473" i="22"/>
  <c r="J474" i="22"/>
  <c r="J475" i="22"/>
  <c r="J476" i="22"/>
  <c r="J477" i="22"/>
  <c r="J478" i="22"/>
  <c r="J479" i="22"/>
  <c r="J480" i="22"/>
  <c r="J481" i="22"/>
  <c r="J482" i="22"/>
  <c r="J483" i="22"/>
  <c r="J484" i="22"/>
  <c r="J485" i="22"/>
  <c r="J486" i="22"/>
  <c r="J487" i="22"/>
  <c r="J488" i="22"/>
  <c r="J489" i="22"/>
  <c r="J490" i="22"/>
  <c r="J491" i="22"/>
  <c r="J492" i="22"/>
  <c r="J493" i="22"/>
  <c r="J494" i="22"/>
  <c r="J495" i="22"/>
  <c r="J496" i="22"/>
  <c r="J497" i="22"/>
  <c r="J498" i="22"/>
  <c r="J499" i="22"/>
  <c r="J500" i="22"/>
  <c r="J501" i="22"/>
  <c r="J502" i="22"/>
  <c r="J503" i="22"/>
  <c r="J504" i="22"/>
  <c r="J505" i="22"/>
  <c r="J506" i="22"/>
  <c r="J507" i="22"/>
  <c r="J508" i="22"/>
  <c r="J16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C508" i="22"/>
  <c r="C507" i="22"/>
  <c r="C506" i="22"/>
  <c r="C505" i="22"/>
  <c r="C504" i="22"/>
  <c r="C503" i="22"/>
  <c r="C502" i="22"/>
  <c r="C501" i="22"/>
  <c r="C500" i="22"/>
  <c r="C499" i="22"/>
  <c r="C498" i="22"/>
  <c r="C497" i="22"/>
  <c r="C496" i="22"/>
  <c r="C495" i="22"/>
  <c r="C494" i="22"/>
  <c r="C493" i="22"/>
  <c r="C492" i="22"/>
  <c r="C491" i="22"/>
  <c r="C490" i="22"/>
  <c r="C489" i="22"/>
  <c r="C488" i="22"/>
  <c r="C487" i="22"/>
  <c r="C486" i="22"/>
  <c r="C485" i="22"/>
  <c r="C484" i="22"/>
  <c r="C483" i="22"/>
  <c r="C482" i="22"/>
  <c r="C481" i="22"/>
  <c r="C480" i="22"/>
  <c r="C479" i="22"/>
  <c r="C478" i="22"/>
  <c r="C477" i="22"/>
  <c r="C476" i="22"/>
  <c r="C475" i="22"/>
  <c r="C474" i="22"/>
  <c r="C473" i="22"/>
  <c r="C472" i="22"/>
  <c r="C471" i="22"/>
  <c r="C470" i="22"/>
  <c r="C469" i="22"/>
  <c r="C468" i="22"/>
  <c r="C467" i="22"/>
  <c r="C466" i="22"/>
  <c r="C465" i="22"/>
  <c r="C464" i="22"/>
  <c r="C463" i="22"/>
  <c r="C462" i="22"/>
  <c r="C461" i="22"/>
  <c r="C460" i="22"/>
  <c r="C459" i="22"/>
  <c r="C458" i="22"/>
  <c r="C457" i="22"/>
  <c r="C456" i="22"/>
  <c r="C455" i="22"/>
  <c r="C454" i="22"/>
  <c r="C453" i="22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402" i="22"/>
  <c r="C401" i="22"/>
  <c r="C400" i="22"/>
  <c r="C399" i="22"/>
  <c r="C398" i="22"/>
  <c r="C397" i="22"/>
  <c r="C396" i="22"/>
  <c r="C395" i="22"/>
  <c r="C394" i="22"/>
  <c r="C393" i="22"/>
  <c r="C392" i="22"/>
  <c r="C391" i="22"/>
  <c r="C390" i="22"/>
  <c r="C389" i="22"/>
  <c r="C388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37" i="22"/>
  <c r="C336" i="22"/>
  <c r="C335" i="22"/>
  <c r="C334" i="22"/>
  <c r="C333" i="22"/>
  <c r="C332" i="22"/>
  <c r="C331" i="22"/>
  <c r="C330" i="22"/>
  <c r="C329" i="22"/>
  <c r="C328" i="22"/>
  <c r="C327" i="22"/>
  <c r="C326" i="22"/>
  <c r="C325" i="22"/>
  <c r="C324" i="22"/>
  <c r="C323" i="22"/>
  <c r="C322" i="22"/>
  <c r="C321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C263" i="22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D8" i="22"/>
  <c r="C8" i="22"/>
  <c r="D22" i="21" l="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188" i="20"/>
  <c r="D498" i="20"/>
  <c r="D497" i="20"/>
  <c r="D496" i="20"/>
  <c r="D495" i="20"/>
  <c r="D494" i="20"/>
  <c r="D493" i="20"/>
  <c r="D492" i="20"/>
  <c r="D491" i="20"/>
  <c r="D490" i="20"/>
  <c r="D489" i="20"/>
  <c r="D488" i="20"/>
  <c r="D487" i="20"/>
  <c r="D486" i="20"/>
  <c r="D485" i="20"/>
  <c r="D484" i="20"/>
  <c r="D483" i="20"/>
  <c r="D482" i="20"/>
  <c r="D481" i="20"/>
  <c r="D480" i="20"/>
  <c r="D479" i="20"/>
  <c r="D478" i="20"/>
  <c r="D477" i="20"/>
  <c r="D476" i="20"/>
  <c r="D475" i="20"/>
  <c r="D474" i="20"/>
  <c r="D473" i="20"/>
  <c r="D472" i="20"/>
  <c r="D471" i="20"/>
  <c r="D470" i="20"/>
  <c r="D469" i="20"/>
  <c r="D468" i="20"/>
  <c r="D467" i="20"/>
  <c r="D466" i="20"/>
  <c r="D465" i="20"/>
  <c r="D464" i="20"/>
  <c r="D463" i="20"/>
  <c r="D462" i="20"/>
  <c r="D461" i="20"/>
  <c r="D460" i="20"/>
  <c r="D459" i="20"/>
  <c r="D458" i="20"/>
  <c r="D457" i="20"/>
  <c r="D456" i="20"/>
  <c r="D455" i="20"/>
  <c r="D454" i="20"/>
  <c r="D453" i="20"/>
  <c r="D452" i="20"/>
  <c r="D451" i="20"/>
  <c r="D450" i="20"/>
  <c r="D449" i="20"/>
  <c r="D448" i="20"/>
  <c r="D447" i="20"/>
  <c r="D446" i="20"/>
  <c r="D445" i="20"/>
  <c r="D444" i="20"/>
  <c r="D443" i="20"/>
  <c r="D442" i="20"/>
  <c r="D441" i="20"/>
  <c r="D440" i="20"/>
  <c r="D439" i="20"/>
  <c r="D438" i="20"/>
  <c r="D437" i="20"/>
  <c r="D436" i="20"/>
  <c r="D435" i="20"/>
  <c r="D434" i="20"/>
  <c r="D433" i="20"/>
  <c r="D432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8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J422" i="1" l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421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172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J154" i="1"/>
  <c r="J155" i="1"/>
  <c r="J156" i="1"/>
  <c r="J157" i="1"/>
  <c r="J158" i="1"/>
  <c r="J159" i="1"/>
  <c r="J160" i="1"/>
  <c r="J161" i="1"/>
  <c r="J162" i="1"/>
  <c r="J163" i="1"/>
  <c r="J164" i="1"/>
  <c r="J153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J135" i="1"/>
  <c r="J136" i="1"/>
  <c r="J137" i="1"/>
  <c r="J138" i="1"/>
  <c r="J139" i="1"/>
  <c r="J140" i="1"/>
  <c r="J141" i="1"/>
  <c r="J142" i="1"/>
  <c r="J143" i="1"/>
  <c r="J144" i="1"/>
  <c r="J145" i="1"/>
  <c r="J134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14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276" i="16" l="1"/>
  <c r="J276" i="16"/>
  <c r="J277" i="16"/>
  <c r="J278" i="16"/>
  <c r="J279" i="16"/>
  <c r="J280" i="16"/>
  <c r="J281" i="16"/>
  <c r="J282" i="16"/>
  <c r="J283" i="16"/>
  <c r="J275" i="16"/>
  <c r="D283" i="16"/>
  <c r="D282" i="16"/>
  <c r="D281" i="16"/>
  <c r="D280" i="16"/>
  <c r="D279" i="16"/>
  <c r="D278" i="16"/>
  <c r="D277" i="16"/>
  <c r="D275" i="16"/>
  <c r="C283" i="16"/>
  <c r="C282" i="16"/>
  <c r="C281" i="16"/>
  <c r="C280" i="16"/>
  <c r="C279" i="16"/>
  <c r="C278" i="16"/>
  <c r="C277" i="16"/>
  <c r="C276" i="16"/>
  <c r="C275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52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30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04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84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J149" i="16"/>
  <c r="J150" i="16"/>
  <c r="J151" i="16"/>
  <c r="J152" i="16"/>
  <c r="J153" i="16"/>
  <c r="J154" i="16"/>
  <c r="J155" i="16"/>
  <c r="J156" i="16"/>
  <c r="J157" i="16"/>
  <c r="J158" i="16"/>
  <c r="J159" i="16"/>
  <c r="J148" i="16"/>
  <c r="J168" i="16"/>
  <c r="J169" i="16"/>
  <c r="J170" i="16"/>
  <c r="J171" i="16"/>
  <c r="J172" i="16"/>
  <c r="J173" i="16"/>
  <c r="J174" i="16"/>
  <c r="J175" i="16"/>
  <c r="J176" i="16"/>
  <c r="J167" i="16"/>
  <c r="D176" i="16"/>
  <c r="D175" i="16"/>
  <c r="D174" i="16"/>
  <c r="D173" i="16"/>
  <c r="D172" i="16"/>
  <c r="D171" i="16"/>
  <c r="D170" i="16"/>
  <c r="D169" i="16"/>
  <c r="D168" i="16"/>
  <c r="D167" i="16"/>
  <c r="C176" i="16"/>
  <c r="C175" i="16"/>
  <c r="C174" i="16"/>
  <c r="C173" i="16"/>
  <c r="C172" i="16"/>
  <c r="C171" i="16"/>
  <c r="C170" i="16"/>
  <c r="C169" i="16"/>
  <c r="C168" i="16"/>
  <c r="C167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24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8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07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59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8" i="18"/>
  <c r="D51" i="18"/>
  <c r="D50" i="18"/>
  <c r="D49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J303" i="19" l="1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02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J262" i="19" l="1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61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25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177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3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77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J9" i="19" l="1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8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J9" i="15" l="1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100" i="15" l="1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9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J90" i="15"/>
  <c r="J91" i="15"/>
  <c r="J89" i="15"/>
  <c r="D91" i="15"/>
  <c r="D90" i="15"/>
  <c r="D89" i="15"/>
  <c r="C91" i="15"/>
  <c r="C90" i="15"/>
  <c r="C89" i="15"/>
  <c r="J72" i="15"/>
  <c r="J73" i="15"/>
  <c r="J74" i="15"/>
  <c r="J75" i="15"/>
  <c r="J76" i="15"/>
  <c r="J77" i="15"/>
  <c r="J78" i="15"/>
  <c r="J79" i="15"/>
  <c r="J80" i="15"/>
  <c r="J81" i="15"/>
  <c r="J71" i="15"/>
  <c r="D81" i="15"/>
  <c r="D80" i="15"/>
  <c r="D79" i="15"/>
  <c r="D78" i="15"/>
  <c r="D77" i="15"/>
  <c r="D76" i="15"/>
  <c r="D75" i="15"/>
  <c r="D74" i="15"/>
  <c r="D73" i="15"/>
  <c r="D72" i="15"/>
  <c r="D71" i="15"/>
  <c r="C81" i="15"/>
  <c r="C80" i="15"/>
  <c r="C79" i="15"/>
  <c r="C78" i="15"/>
  <c r="C77" i="15"/>
  <c r="C76" i="15"/>
  <c r="C75" i="15"/>
  <c r="C74" i="15"/>
  <c r="C73" i="15"/>
  <c r="C72" i="15"/>
  <c r="C71" i="15"/>
  <c r="J8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292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34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17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55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15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163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J95" i="13" l="1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65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J9" i="13" l="1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8" i="13"/>
  <c r="D57" i="13" l="1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</calcChain>
</file>

<file path=xl/sharedStrings.xml><?xml version="1.0" encoding="utf-8"?>
<sst xmlns="http://schemas.openxmlformats.org/spreadsheetml/2006/main" count="4722" uniqueCount="708">
  <si>
    <t>Rb</t>
  </si>
  <si>
    <t>Predmet Okvirnog 
sporazuma</t>
  </si>
  <si>
    <t>Broj objave poziva 
na nadmetanje</t>
  </si>
  <si>
    <t>Vrsta provedenog 
postupka</t>
  </si>
  <si>
    <t>Procijenjena 
vrijednost nabave</t>
  </si>
  <si>
    <t>Iznos Okvirnog sporazuma 
(kn, bez PDV-a)</t>
  </si>
  <si>
    <t>Evid. broj 
nabave / broj OS</t>
  </si>
  <si>
    <t>Datum sklapanja 
OS</t>
  </si>
  <si>
    <t>Razdoblje na 
koje je OS 
sklopljen</t>
  </si>
  <si>
    <t>Oznaka ugovora / narudžbenice</t>
  </si>
  <si>
    <t>Naziv korisnika</t>
  </si>
  <si>
    <t>Rok na koji je sklopljen</t>
  </si>
  <si>
    <t>Datum sklapanja</t>
  </si>
  <si>
    <t>Naziv ponuditelja s kojim je sklopljen ugovor</t>
  </si>
  <si>
    <t>Konačan datum isporuke robe/pružanja usluge</t>
  </si>
  <si>
    <t>Konačno ukupno plaćeno temeljem ugovora (kn, bez PDV-a)</t>
  </si>
  <si>
    <t>Konačno ukupno plaćeno temeljem ugovora (kn, s PDV-om)</t>
  </si>
  <si>
    <t>Obrazloženje za plaćanje više od ugovorenog / napomena</t>
  </si>
  <si>
    <t>Iznos sklopljenog ugovora / narudžbenice (kn, bez PDV-a)</t>
  </si>
  <si>
    <t>OKVIRNI SPORAZUM - Gorivo</t>
  </si>
  <si>
    <t>UGOVORI/NARUDŽBENICE NA TEMELJU OKVIRNOG SPORAZUMA</t>
  </si>
  <si>
    <t>OKVIRNI SPORAZUM - Potrošni materijal</t>
  </si>
  <si>
    <t>Potrošni materijal - grupa 1.</t>
  </si>
  <si>
    <t>10/2013-1</t>
  </si>
  <si>
    <t>otvoreni</t>
  </si>
  <si>
    <t>MINISTARSTVO KULTURE</t>
  </si>
  <si>
    <t>MINISTARSTVO UPRAVE</t>
  </si>
  <si>
    <t>MINISTARSTVO UNUTARNJIH POSLOVA</t>
  </si>
  <si>
    <t>MINISTARSTVO GRADITELJSTVA I PROSTORNOG UREĐENJA</t>
  </si>
  <si>
    <t>MINISTARSTVO FINANCIJA</t>
  </si>
  <si>
    <t>DRŽAVNI URED ZA OBNOVU I STAMBENO ZBRINJAVANJE</t>
  </si>
  <si>
    <t>DRŽAVNA UPRAVA ZA ZAŠTITU I SPAŠAVANJE</t>
  </si>
  <si>
    <t>DRŽAVNI HIDROMETEOROLOŠKI ZAVOD</t>
  </si>
  <si>
    <t>CARINSKA UPRAVA</t>
  </si>
  <si>
    <t>URED ZA OPĆE POSLOVE HRVATSKOG SABORA I VLADE REPUBLIKE HRVATSKE</t>
  </si>
  <si>
    <t>DRŽAVNA GEODETSKA UPRAVA</t>
  </si>
  <si>
    <t>MINISTARSTVO ZDRAVLJA</t>
  </si>
  <si>
    <t>URED PREDSJEDNIKA REPUBLIKE HRVATSKE</t>
  </si>
  <si>
    <t>ZATVORSKA BOLNICA U ZAGREBU</t>
  </si>
  <si>
    <t>MINISTARSTVO VANJSKIH I EUROPSKIH POSLOVA</t>
  </si>
  <si>
    <t>KAZNIONICA U LEPOGLAVI</t>
  </si>
  <si>
    <t>MINISTARSTVO PRAVOSUĐA</t>
  </si>
  <si>
    <t>MINISTARSTVO OBRANE</t>
  </si>
  <si>
    <t>MINISTARSTVO RADA I MIROVINSKOG SUSTAVA</t>
  </si>
  <si>
    <t>POREZNA UPRAVA</t>
  </si>
  <si>
    <t>MINISTARSTVO ZAŠTITE OKOLIŠA I PRIRODE</t>
  </si>
  <si>
    <t>KAZNIONICA I ZATVOR U POŽEGI</t>
  </si>
  <si>
    <t>DRŽAVNI URED ZA UPRAVLJANJE DRŽAVNOM IMOVINOM</t>
  </si>
  <si>
    <t>DRŽAVNI ZAVOD ZA INTELEKTUALNO VLASNIŠTVO</t>
  </si>
  <si>
    <t>MINISTARSTVO TURIZMA</t>
  </si>
  <si>
    <t>DRŽAVNI URED ZA HRVATE IZVAN REPUBLIKE HRVATSKE</t>
  </si>
  <si>
    <t>MINISTARSTVO POLJOPRIVREDE</t>
  </si>
  <si>
    <t>DRŽAVNI URED ZA SREDIŠNJU JAVNU NABAVU</t>
  </si>
  <si>
    <t>MINISTARSTVO BRANITELJA</t>
  </si>
  <si>
    <t>DRŽAVNI ZAVOD ZA STATISTIKU</t>
  </si>
  <si>
    <t>MINISTARSTVO POMORSTVA, PROMETA I INFRASTRUKTURE</t>
  </si>
  <si>
    <t>Potrošni materijal - grupa 2.</t>
  </si>
  <si>
    <t>10/2013-2</t>
  </si>
  <si>
    <t>MINISTARSTVO ZNANOSTI, OBRAZOVANJA I SPORTA</t>
  </si>
  <si>
    <t>MINISTARSTVO REGIONALNOG RAZVOJA I FONDOVA EUROPSKE UNIJE</t>
  </si>
  <si>
    <t>ZATVOR U SISKU</t>
  </si>
  <si>
    <t>DRŽAVNI ZAVOD ZA MJERITELJSTVO</t>
  </si>
  <si>
    <t>MINISTARSTVO SOCIJALNE POLITIKE I MLADIH</t>
  </si>
  <si>
    <t>Potrošni materijal - grupa 3.</t>
  </si>
  <si>
    <t>10/2013-3</t>
  </si>
  <si>
    <t>ZATVOR U ZAGREBU</t>
  </si>
  <si>
    <t>Potrošni materijal - grupa 4.</t>
  </si>
  <si>
    <t>10/2013-4</t>
  </si>
  <si>
    <t>ZATVOR U KARLOVCU</t>
  </si>
  <si>
    <t>ZATVOR U BJELOVARU</t>
  </si>
  <si>
    <t>KAZNIONICA U LIPOVICI - POPOVAČA</t>
  </si>
  <si>
    <t>ZATVOR U OSIJEKU</t>
  </si>
  <si>
    <t>ZATVOR U GOSPIĆU</t>
  </si>
  <si>
    <t>KAZNIONICA U VALTURI</t>
  </si>
  <si>
    <t>ZATVOR U PULI</t>
  </si>
  <si>
    <t>OKVIRNI SPORAZUM - Usluge čišćenja prostorija</t>
  </si>
  <si>
    <t>Usluge čišćenja prostorija</t>
  </si>
  <si>
    <t>2/2014-AS</t>
  </si>
  <si>
    <t>2/2014-EF</t>
  </si>
  <si>
    <t>2/2014-S</t>
  </si>
  <si>
    <t>2/2014-F</t>
  </si>
  <si>
    <t>VLADA REPUBLIKE HRVATSKE</t>
  </si>
  <si>
    <t>HRVATSKI SABOR</t>
  </si>
  <si>
    <t>DRŽAVNI ZAVOD ZA RADIOLOŠKU I NUKLEARNU SIGURNOST</t>
  </si>
  <si>
    <t>7/2015-AS</t>
  </si>
  <si>
    <t>7/2015-CHM</t>
  </si>
  <si>
    <t>DIGITALNI INFORMACIJSKO-DOKUMENTACIJSKI URED</t>
  </si>
  <si>
    <t>OKVIRNI SPORAZUM - Licence</t>
  </si>
  <si>
    <t>Licence za korištenje 
Microsoftovih softverskih 
proizvoda i usluga</t>
  </si>
  <si>
    <t>1/2013.</t>
  </si>
  <si>
    <t>MINISTARSTVO GOSPODARSTVA</t>
  </si>
  <si>
    <t>MINISTARSTVO PODUZETNIŠTVA I OBRTA</t>
  </si>
  <si>
    <t>AGENCIJA ZA PLAĆANJA U POLJOPRIVREDI, RIBARSTVU I RURALNOM RAZVOJU</t>
  </si>
  <si>
    <t>HRVATSKI ZAVOD ZA NORME</t>
  </si>
  <si>
    <t>HRVATSKI ZAVOD ZA ZAPOŠLJAVANJE</t>
  </si>
  <si>
    <t>PRAVOBRANITELJ/ICA ZA RAVNOPRAVNOST SPOLOVA</t>
  </si>
  <si>
    <t>SAVJETODAVNA SLUŽBA</t>
  </si>
  <si>
    <t>URED ZA UDRUGE</t>
  </si>
  <si>
    <t>DIREKCIJA ZA KORIŠTENJE SLUŽBENIH ZRAKOPLOVA</t>
  </si>
  <si>
    <t>URED ZA ZAKONODAVSTVO</t>
  </si>
  <si>
    <t>URED ZA PROTOKOL</t>
  </si>
  <si>
    <t>URED ZA SUZBIJANJE ZLOUPORABE DROGA</t>
  </si>
  <si>
    <t>STRUČNA SLUŽBA SAVJETA ZA NACIONALNE MANJINE</t>
  </si>
  <si>
    <t>URED ZA RAZMINIRANJE</t>
  </si>
  <si>
    <t>URED ZASTUPNIKA REPUBLIKE HRVATSKE PRED EUROPSKIM SUDOM ZA LJUDSKA PRAVA</t>
  </si>
  <si>
    <t>URED ZA LJUDSKA PRAVA I PRAVA NACIONALNH MANJINA</t>
  </si>
  <si>
    <t>URED VLADE RH ZA UNUTARNJU REVIZIJU</t>
  </si>
  <si>
    <t>URED ZA RAVNOPRAVNOST SPOLOVA</t>
  </si>
  <si>
    <t>HRVATSKI ZAVOD ZA ZDRAVSTVENO OSIGURANJE</t>
  </si>
  <si>
    <t>3/2014.</t>
  </si>
  <si>
    <t>1/2015.</t>
  </si>
  <si>
    <t>Licence za korištenje 
Oracleovih softverskih 
proizvoda i usluga</t>
  </si>
  <si>
    <t>1/2014.</t>
  </si>
  <si>
    <t>Licence za korištenje antivirusne, antispam i slične programske opreme</t>
  </si>
  <si>
    <t>URED KOMISIJE ZA ODNOSE S VJERSKIM ZAJEDNICAMA</t>
  </si>
  <si>
    <t>15.07.2014.</t>
  </si>
  <si>
    <t>3 godine</t>
  </si>
  <si>
    <t>OKVIRNI SPORAZUM - Gume za vozila</t>
  </si>
  <si>
    <t>13/2013-1</t>
  </si>
  <si>
    <t>13/2013-2</t>
  </si>
  <si>
    <t>13/2013-3</t>
  </si>
  <si>
    <t>13/2013-4</t>
  </si>
  <si>
    <t>13/2013-5</t>
  </si>
  <si>
    <t>13/2013-6</t>
  </si>
  <si>
    <t>13/2013-7</t>
  </si>
  <si>
    <t>13/2013-8</t>
  </si>
  <si>
    <t>13/2013-9</t>
  </si>
  <si>
    <t>OKVIRNI SPORAZUM - Usluge u pokretnoj mreži i oprema</t>
  </si>
  <si>
    <t>NACIONALNA I SVEUČILIŠNA KNJIŽNICA U ZAGREBU</t>
  </si>
  <si>
    <t>URED DRŽAVNE UPRAVE U KOPRIVNIČKO-KRIŽEVAČKOJ ŽUPANIJI</t>
  </si>
  <si>
    <t>URED DRŽAVNE UPRAVE U PRIMORSKO-GORANSKOJ ŽUPANIJI</t>
  </si>
  <si>
    <t>URED DRŽAVNE UPRAVE U MEĐIMURSKOJ ŽUPANIJI</t>
  </si>
  <si>
    <t>OKVIRNI SPORAZUM - Računala i računalna oprema</t>
  </si>
  <si>
    <t>2/2015-1</t>
  </si>
  <si>
    <t>2/2015-2/3</t>
  </si>
  <si>
    <t>2/2015-4/5</t>
  </si>
  <si>
    <t>OKVIRNI SPORAZUM - Uredski materijal</t>
  </si>
  <si>
    <t>4/2013-A/B</t>
  </si>
  <si>
    <t>5/2012-A</t>
  </si>
  <si>
    <t>5/2012-B</t>
  </si>
  <si>
    <t>5/2012-C</t>
  </si>
  <si>
    <t>5/2012-D</t>
  </si>
  <si>
    <t>5/2012-E</t>
  </si>
  <si>
    <t>5/2012-F</t>
  </si>
  <si>
    <t>7/2013.</t>
  </si>
  <si>
    <t>4/2014-1</t>
  </si>
  <si>
    <t>SVEUČILIŠTE U SPLITU - KINEZIOLOŠKI FAKULTET</t>
  </si>
  <si>
    <t>DOM ZA PSIHIČKI BOLESNE ODRASLE OSOBE JALŽABET</t>
  </si>
  <si>
    <t>PARK PRIRODE MEDVEDNICA</t>
  </si>
  <si>
    <t>VELEUČILIŠTE NIKOLA TESLA U GOSPIĆU</t>
  </si>
  <si>
    <t>SVEUČILIŠTE U RIJECI - FAKULTET ZA MENADŽMENT U TURIZMU I UGOSTITELJSTVU</t>
  </si>
  <si>
    <t>SVEUČILIŠTE U ZAGREBU - UČITELJSKI FAKULTET</t>
  </si>
  <si>
    <t>SVEUČILIŠTE U SPLITU - KEMIJSKO-TEHNOLOŠKI FAKULTET</t>
  </si>
  <si>
    <t>KAZNIONICA U GLINI</t>
  </si>
  <si>
    <t>SVEUČILIŠTE U SPLITU - EKONOMSKI FAKULTET</t>
  </si>
  <si>
    <t>SVEUČILIŠTE J.J STROSSMAYERA U OSIJEKU - FAKULTET ZA ODGOJNE I OBRAZOVNE ZNANOSTI</t>
  </si>
  <si>
    <t>DOM ZA PSIHIČKI BOLESNE ODRASLE OSOBE MOTOVUN</t>
  </si>
  <si>
    <t>SVEUČILIŠTE U SPLITU - PRIRODOSLOVNO - MATEMATIČKI FAKULTET</t>
  </si>
  <si>
    <t>DOM ZA DJECU MAESTRAL</t>
  </si>
  <si>
    <t>SVEUČILIŠTE U RIJECI - FAKULTET ZDRAVSTVENIH STUDIJA U RIJECI</t>
  </si>
  <si>
    <t>URED DRŽAVNE UPRAVE U SPLITSKO-DALMATINSKOJ ŽUPANIJI</t>
  </si>
  <si>
    <t>OPĆINSKI SUD U KARLOVCU</t>
  </si>
  <si>
    <t>DRŽAVNI ARHIV U ZADRU</t>
  </si>
  <si>
    <t>DRŽAVNI ARHIV U PAZINU</t>
  </si>
  <si>
    <t>MUZEJ HRVATSKIH ARHEOLOŠKIH SPOMENIKA SPLIT</t>
  </si>
  <si>
    <t>SVEUČILIŠTE U ZAGREBU - FAKULTET PROMETNIH ZNANOSTI</t>
  </si>
  <si>
    <t>PARK PRIRODE ŽUMBERAK-SAMOBORSKO GORJE</t>
  </si>
  <si>
    <t>SVEUČILIŠTE U RIJECI - POMORSKI FAKULTET</t>
  </si>
  <si>
    <t>OPĆINSKI SUD U SISKU</t>
  </si>
  <si>
    <t>PREKRŠAJNI SUD U OSIJEKU</t>
  </si>
  <si>
    <t>SVEUČILIŠTE U SPLITU - POMORSKI FAKULTET</t>
  </si>
  <si>
    <t>OPĆINSKI SUD U VUKOVARU</t>
  </si>
  <si>
    <t>NACIONALNI PARK PLITVIČKA JEZERA</t>
  </si>
  <si>
    <t>INSTITUT ZA OCEANOGRAFIJU I RIBARSTVO</t>
  </si>
  <si>
    <t>URED DRŽAVNE UPRAVE U ZADARSKOJ ŽUPANIJI</t>
  </si>
  <si>
    <t>SVEUČILIŠTE U ZAGREBU - GRAĐEVINSKI FAKULTET</t>
  </si>
  <si>
    <t>NACIONALNI PARK RISNJAK</t>
  </si>
  <si>
    <t>SVEUČILIŠTE U DUBROVNIKU</t>
  </si>
  <si>
    <t>SVEUČILIŠTE U SPLITU - UMJETNIČKA AKADEMIJA</t>
  </si>
  <si>
    <t>SVEUČILIŠTE U ZAGREBU</t>
  </si>
  <si>
    <t>SVEUČILIŠTE U ZAGREBU - PREHRAMBENO BIOTEHNOLOŠKI FAKULTET</t>
  </si>
  <si>
    <t>SVEUČILIŠTE U ZAGREBU - PRIRODOSLOVNO-MATEMATIČKI FAKULTET</t>
  </si>
  <si>
    <t>OPĆINSKI SUD U PULI - POLA</t>
  </si>
  <si>
    <t>SVEUČILIŠTE U ZADRU</t>
  </si>
  <si>
    <t>SVEUČILIŠTE U RIJECI - MEDICINSKI FAKULTET</t>
  </si>
  <si>
    <t>ŽUPANIJSKI SUD U SLAVONSKOM BRODU</t>
  </si>
  <si>
    <t>ŽUPANIJSKI SUD U ŠIBENIKU</t>
  </si>
  <si>
    <t>TRGOVAČKI SUD U ZADRU</t>
  </si>
  <si>
    <t>ZATVOR U RIJECI</t>
  </si>
  <si>
    <t>SVEUČILIŠTE U ZAGREBU - AGRONOMSKI FAKULTET</t>
  </si>
  <si>
    <t>URED DRŽAVNE UPRAVE U ISTARSKOJ ŽUPANIJI</t>
  </si>
  <si>
    <t>DRŽAVNI ARHIV U SISKU</t>
  </si>
  <si>
    <t>HRVATSKI ŠUMARSKI INSTITUT</t>
  </si>
  <si>
    <t>OPĆINSKI SUD U VARAŽDINU</t>
  </si>
  <si>
    <t>PREKRŠAJNI SUD U ĐAKOVU</t>
  </si>
  <si>
    <t>KAZNIONICA I ZATVOR U ŠIBENIKU</t>
  </si>
  <si>
    <t>ZATVOR U SPLITU</t>
  </si>
  <si>
    <t>ODGOJNI ZAVOD TUROPOLJE</t>
  </si>
  <si>
    <t>KAZNIONICA U TUROPOLJU</t>
  </si>
  <si>
    <t>OPĆINSKI SUD U RIJECI</t>
  </si>
  <si>
    <t>HRVATSKI VETERINARSKI INSTITUT</t>
  </si>
  <si>
    <t>VELEUČILIŠTE U RIJECI</t>
  </si>
  <si>
    <t>VELEUČILIŠTE U POŽEGI</t>
  </si>
  <si>
    <t>SVEUČILIŠTE U SPLITU - FAKULTET ELEKTROTEHNIKE, STROJARSTVA I BRODOGRADNJE</t>
  </si>
  <si>
    <t>SVEUČILIŠTE U RIJECI - SVEUČILIŠNA KNJIŽNICA</t>
  </si>
  <si>
    <t>SVEUČILIŠTE U RIJECI - PRAVNI FAKULTET</t>
  </si>
  <si>
    <t>NACIONALNI PARK BRIJUNI</t>
  </si>
  <si>
    <t>SPOMEN PODRUČJE JASENOVAC</t>
  </si>
  <si>
    <t>INSTITUT RUĐER BOŠKOVIĆ</t>
  </si>
  <si>
    <t>URED DRŽAVNE UPRAVE U ŠIBENSKO-KNINSKOJ ŽUPANIJI</t>
  </si>
  <si>
    <t>4/2014-2</t>
  </si>
  <si>
    <t>AGENCIJA ZA VODNE PUTOVE</t>
  </si>
  <si>
    <t>HRVATSKI HIDROGRAFSKI INSTITUT</t>
  </si>
  <si>
    <t>POLJOPRIVREDNI INSTITUT OSIJEK</t>
  </si>
  <si>
    <t>NACIONALNI PARK KRKA</t>
  </si>
  <si>
    <t>VISOKO GOSPODARSKO UČILIŠTE U KRIŽEVCIMA</t>
  </si>
  <si>
    <t>4/2014-3</t>
  </si>
  <si>
    <t>NACIONALNI PARK KORNATI</t>
  </si>
  <si>
    <t>PARK PRIRODE LONJSKO POLJE</t>
  </si>
  <si>
    <t>4/2014-4</t>
  </si>
  <si>
    <t>SVEUČILIŠTE U ZAGREBU - MEDICINSKI FAKULTET</t>
  </si>
  <si>
    <t>4/2014-5</t>
  </si>
  <si>
    <t>URED DRŽAVNE UPRAVE U KARLOVAČKOJ ŽUPANIJI</t>
  </si>
  <si>
    <t>URED DRŽAVNE UPRAVE U BRODSKO-POSAVSKOJ ŽUPANIJI</t>
  </si>
  <si>
    <t>CENTAR ZA ODGOJ I OBRAZOVANJE SLAVA RAŠKAJ, ZAGREB</t>
  </si>
  <si>
    <t>AGENCIJA ZA PRAVNI PROMET I POSREDOVANJE NEKRETNINAMA</t>
  </si>
  <si>
    <t>OPĆINSKI GRAĐANSKI SUD U ZAGREBU</t>
  </si>
  <si>
    <t>OPĆINSKI SUD U SLAVONSKOM BRODU</t>
  </si>
  <si>
    <t>SVEUČILIŠTE J.J.STROSSMAYERA U OSIJEKU - UMJETNIČKA AKADEMIJA</t>
  </si>
  <si>
    <t>OPĆINSKI SUD U ĐAKOVU</t>
  </si>
  <si>
    <t>SVEUČILIŠTE U ZAGREBU - FAKULTET STROJARSTVA I BRODOGRADNJE</t>
  </si>
  <si>
    <t>CENTAR ZA SOCIJALNU SKRB IVANIĆ GRAD</t>
  </si>
  <si>
    <t>AGENCIJA ZA POLJOPRIVREDNO ZEMLJIŠTE</t>
  </si>
  <si>
    <t>AGENCIJA ZA REVIZIJU SUSTAVA PROVEDBE PROGRAMA EUROPSKE UNIJE</t>
  </si>
  <si>
    <t>PREKRŠAJNI SUD U NOVOM ZAGREBU</t>
  </si>
  <si>
    <t>OPĆINSKI SUD U NOVOM ZAGREBU</t>
  </si>
  <si>
    <t>OPĆINSKO DRŽAVNO ODVJETNIŠTVO U NOVOM ZAGREBU</t>
  </si>
  <si>
    <t>PARK PRIRODE UČKA</t>
  </si>
  <si>
    <t>OPĆINSKO DRŽAVNO ODVJETNIŠTVO U ZAGREBU</t>
  </si>
  <si>
    <t>DRŽAVNI ARHIV U VARAŽDINU</t>
  </si>
  <si>
    <t>DRŽAVNI ARHIV U GOSPIĆU</t>
  </si>
  <si>
    <t>DRŽAVNI ARHIV U DUBROVNIKU</t>
  </si>
  <si>
    <t>SVEUČILIŠTE J.J STROSSMAYERA U OSIJEKU - MEDICINSKI FAKULTET</t>
  </si>
  <si>
    <t>MUZEJ SLAVONIJE OSIJEK</t>
  </si>
  <si>
    <t>PARK PRIRODE LASTOVSKO OTOČJE</t>
  </si>
  <si>
    <t>NACIONALNI PARK SJEVERNI VELEBIT</t>
  </si>
  <si>
    <t>HRVATSKI RESTAURATORSKI ZAVOD</t>
  </si>
  <si>
    <t>TRGOVAČKI SUD U BJELOVARU</t>
  </si>
  <si>
    <t>AGENCIJA ZA ZNANOST I VISOKO OBRAZOVANJE</t>
  </si>
  <si>
    <t>DRŽAVNI ARHIV U KARLOVCU</t>
  </si>
  <si>
    <t>URED DRŽAVNE UPRAVE U VARAŽDINSKOJ ŽUPANIJI</t>
  </si>
  <si>
    <t>URED DRŽAVNE UPRAVE U OSJEČKO-BARANJSKOJ ŽUPANIJI</t>
  </si>
  <si>
    <t>HRVATSKI GEOLOŠKI INSTITUT</t>
  </si>
  <si>
    <t>ŽUPANIJSKO DRŽAVNO ODVJETNIŠTVO U ZAGREBU</t>
  </si>
  <si>
    <t>OPĆINSKO DRŽAVNO ODVJETNIŠTVO U SISKU</t>
  </si>
  <si>
    <t>SVEUČILIŠTE U ZAGREBU - EKONOMSKI FAKULTET</t>
  </si>
  <si>
    <t>OPĆINSKI SUD U VELIKOJ GORICI</t>
  </si>
  <si>
    <t>OPĆINSKI SUD U VIROVITICI</t>
  </si>
  <si>
    <t>OPĆINSKI SUD U ZADRU</t>
  </si>
  <si>
    <t>PREKRŠAJNI SUD U SISKU</t>
  </si>
  <si>
    <t>ZATVOR U VARAŽDINU</t>
  </si>
  <si>
    <t>HRVATSKA MATICA ISELJENIKA</t>
  </si>
  <si>
    <t>DRŽAVNI ARHIV U VUKOVARU</t>
  </si>
  <si>
    <t>HRVATSKI POVIJESNI MUZEJ</t>
  </si>
  <si>
    <t>AGENCIJA ZA OBALNI LINIJSKI POMORSKI PROMET</t>
  </si>
  <si>
    <t>PARK PRIRODE KOPAČKI RIT</t>
  </si>
  <si>
    <t>SVEUČILIŠTE J.J STROSSMAYERA U OSIJEKU - EKONOMSKI FAKULTET</t>
  </si>
  <si>
    <t>LEKSIKOGRAFSKI ZAVOD MIROSLAV KRLEŽA</t>
  </si>
  <si>
    <t>UPRAVNI SUD U OSIJEKU</t>
  </si>
  <si>
    <t>UPRAVNI SUD U SPLITU</t>
  </si>
  <si>
    <t>UPRAVNI SUD U ZAGREBU</t>
  </si>
  <si>
    <t>ŽUPANIJSKI SUD U BJELOVARU</t>
  </si>
  <si>
    <t>ŽUPANIJSKI SUD U OSIJEKU</t>
  </si>
  <si>
    <t>ŽUPANIJSKI SUD U PULI - POLA</t>
  </si>
  <si>
    <t>ŽUPANIJSKI SUD U SPLITU</t>
  </si>
  <si>
    <t>ŽUPANIJSKI SUD U ZADRU</t>
  </si>
  <si>
    <t>ŽUPANIJSKI SUD U ZAGREBU</t>
  </si>
  <si>
    <t>ŽUPANIJSKO DRŽAVNO ODVJETNIŠTVO U VELIKOJ GORICI</t>
  </si>
  <si>
    <t>OPĆINSKI SUD U BJELOVARU</t>
  </si>
  <si>
    <t>OPĆINSKI SUD U KOPRIVNICI</t>
  </si>
  <si>
    <t>OPĆINSKO DRŽAVNO ODVJETNIŠTVO U RIJECI</t>
  </si>
  <si>
    <t>ŽUPANIJSKO DRŽAVNO ODVJETNIŠTVO U RIJECI</t>
  </si>
  <si>
    <t>VISOKI PREKRŠAJNII SUD RH</t>
  </si>
  <si>
    <t>HRVATSKI DRŽAVNI ARHIV</t>
  </si>
  <si>
    <t>FOND ZA NAKNADU ODUZETE IMOVINE</t>
  </si>
  <si>
    <t>AGENCIJA ZA INVESTICIJE I KONKURENTNOST</t>
  </si>
  <si>
    <t>HRVATSKA AGENCIJA ZA MALO GOSPODARSTVO, INOVACIJE I INVESTICIJE</t>
  </si>
  <si>
    <t>DRŽAVNI ARHIV U ZAGREBU</t>
  </si>
  <si>
    <t>ARHEOLOŠKI MUZEJ ISTRE</t>
  </si>
  <si>
    <t>ARHEOLOŠKI MUZEJ U SPLITU</t>
  </si>
  <si>
    <t>MUZEJI IVANA MEŠTROVIĆA</t>
  </si>
  <si>
    <t>NACIONALNI PARK PAKLENICA</t>
  </si>
  <si>
    <t>PARK PRIRODE PAPUK</t>
  </si>
  <si>
    <t>PARK PRIRODE VELEBIT</t>
  </si>
  <si>
    <t>SVEUČILIŠTE J.J STROSSMAYERA U OSIJEKU</t>
  </si>
  <si>
    <t>SVEUČILIŠTE J.J.STROSSMAYERA U OSIJEKU - GRADSKA I SVEUČILIŠNA KNJIŽNICA</t>
  </si>
  <si>
    <t>SVEUČILIŠTE U ZAGREBU - FILOZOFSKI FAKULTET</t>
  </si>
  <si>
    <t>HRVATSKI INSTITUT ZA POVIJEST</t>
  </si>
  <si>
    <t>INSTITUT DRUŠTVENIH ZNANOSTI IVO PILAR</t>
  </si>
  <si>
    <t>INSTITUT ZA HRVATSKI JEZIK I JEZIKOSLOVLJE</t>
  </si>
  <si>
    <t>INSTITUT ZA JADRANSKE KULTURE I MELIORACIJU KRŠA</t>
  </si>
  <si>
    <t>INSTITUT ZA TURIZAM</t>
  </si>
  <si>
    <t>AGENCIJA ZA STRUKOVNO OBRAZOVANJE I OBRAZOVANJE ODRASLIH</t>
  </si>
  <si>
    <t>URED DRŽAVNE UPRAVE U POŽEŠKO-SLAVONSKOJ ŽUPANIJI</t>
  </si>
  <si>
    <t>URED DRŽAVNE UPRAVE U SISAČKO-MOSLAVAČKOJ ŽUPANIJI</t>
  </si>
  <si>
    <t>URED DRŽAVNE UPRAVE U VIROVITIČKO-PODRAVSKOJ ŽUPANIJI</t>
  </si>
  <si>
    <t>URED DRŽAVNE UPRAVE U VUKOVARSKO-SRIJEMSKOJ ŽUPANIJI</t>
  </si>
  <si>
    <t>URED DRŽAVNE UPRAVE U ZAGREBAČKOJ ŽUPANIJI</t>
  </si>
  <si>
    <t>HRVATSKI ZAVOD ZA JAVNO ZDRAVSTVO</t>
  </si>
  <si>
    <t>PRAVOSUDNA AKADEMIJA</t>
  </si>
  <si>
    <t>CENTAR ZA IZOBRAZBU</t>
  </si>
  <si>
    <t>ZATVOR U DUBROVNIKU</t>
  </si>
  <si>
    <t>VISOKI TRGOVAČKI SUD RH</t>
  </si>
  <si>
    <t>VISOKI UPRAVNI SUD REPUBLIKE HRVATSKE</t>
  </si>
  <si>
    <t>DRŽAVNO ODVJETNIŠTVO RH</t>
  </si>
  <si>
    <t>ŽUPANIJSKI SUD U DUBROVNIKU</t>
  </si>
  <si>
    <t>ŽUPANIJSKI SUD U RIJECI</t>
  </si>
  <si>
    <t>ŽUPANIJSKI SUD U VARAŽDINU</t>
  </si>
  <si>
    <t>ŽUPANIJSKI SUD U VELIKOJ GORICI</t>
  </si>
  <si>
    <t>TRGOVAČKI SUD U RIJECI</t>
  </si>
  <si>
    <t>TRGOVAČKI SUD U SPLITU</t>
  </si>
  <si>
    <t>TRGOVAČKI SUD U ZAGREBU</t>
  </si>
  <si>
    <t>ŽUPANIJSKO DRŽAVNO ODVJETNIŠTVO U BJELOVARU</t>
  </si>
  <si>
    <t>ŽUPANIJSKO DRŽAVNO ODVJETNIŠTVO U DUBROVNIKU</t>
  </si>
  <si>
    <t>ŽUPANIJSKO DRŽAVNO ODVJETNIŠTVO U KARLOVCU</t>
  </si>
  <si>
    <t>ŽUPANIJSKO DRŽAVNO ODVJETNIŠTVO U OSIJEKU</t>
  </si>
  <si>
    <t>ŽUPANIJSKO DRŽAVNO ODVJETNIŠTVO U PULI - POLA</t>
  </si>
  <si>
    <t>ŽUPANIJSKO DRŽAVNO ODVJETNIŠTVO U SISKU</t>
  </si>
  <si>
    <t>ŽUPANIJSKO DRŽAVNO ODVJETNIŠTVO U SLAVONSKOM BRODU</t>
  </si>
  <si>
    <t>ŽUPANIJSKO DRŽAVNO ODVJETNIŠTVO U SPLITU</t>
  </si>
  <si>
    <t>ŽUPANIJSKO DRŽAVNO ODVJETNIŠTVO U ŠIBENIKU</t>
  </si>
  <si>
    <t>ŽUPANIJSKO DRŽAVNO ODVJETNIŠTVO U VARAŽDINU</t>
  </si>
  <si>
    <t>ŽUPANIJSKO DRŽAVNO ODVJETNIŠTVO U VUKOVARU</t>
  </si>
  <si>
    <t>ŽUPANIJSKO DRŽAVNO ODVJETNIŠTVO U ZADRU</t>
  </si>
  <si>
    <t>OPĆINSKI KAZNENI SUD U ZAGREBU</t>
  </si>
  <si>
    <t>OPĆINSKI SUD U DUBROVNIKU</t>
  </si>
  <si>
    <t>OPĆINSKI SUD U OSIJEKU</t>
  </si>
  <si>
    <t>OPĆINSKI SUD U POŽEGI</t>
  </si>
  <si>
    <t>OPĆINSKI SUD U SPLITU</t>
  </si>
  <si>
    <t>OPĆINSKO DRŽAVNO ODVJETNIŠTVO U BJELOVARU</t>
  </si>
  <si>
    <t>OPĆINSKO DRŽAVNO ODVJETNIŠTVO U ČAKOVCU</t>
  </si>
  <si>
    <t>OPĆINSKO DRŽAVNO ODVJETNIŠTVO U GOSPIĆU</t>
  </si>
  <si>
    <t>OPĆINSKO DRŽAVNO ODVJETNIŠTVO U KARLOVCU</t>
  </si>
  <si>
    <t>OPĆINSKO DRŽAVNO ODVJETNIŠTVO U KOPRIVNICI</t>
  </si>
  <si>
    <t>OPĆINSKO DRŽAVNO ODVJETNIŠTVO U OSIJEKU</t>
  </si>
  <si>
    <t>OPĆINSKO DRŽAVNO ODVJETNIŠTVO U PULI - POLA</t>
  </si>
  <si>
    <t>OPĆINSKO DRŽAVNO ODVJETNIŠTVO U SPLITU</t>
  </si>
  <si>
    <t>OPĆINSKO DRŽAVNO ODVJETNIŠTVO U VARAŽDINU</t>
  </si>
  <si>
    <t>OPĆINSKO DRŽAVNO ODVJETNIŠTVO U VIROVITICI</t>
  </si>
  <si>
    <t>OPĆINSKO DRŽAVNO ODVJETNIŠTVO U VUKOVARU</t>
  </si>
  <si>
    <t>OPĆINSKO DRŽAVNO ODVJETNIŠTVO U ZADRU</t>
  </si>
  <si>
    <t>PREKRŠAJNI SUD U SPLITU</t>
  </si>
  <si>
    <t>PREKRŠAJNI SUD U ZADRU</t>
  </si>
  <si>
    <t>PREKRŠAJNI SUD U ZAGREBU</t>
  </si>
  <si>
    <t>HRVATSKA KNJIŽNICA ZA SLIJEPE</t>
  </si>
  <si>
    <t>ŽUPANIJSKI SUD U KARLOVCU</t>
  </si>
  <si>
    <t>VRHOVNI SUD REPUBLIKE HRVATSKE</t>
  </si>
  <si>
    <t>SVEUČILIŠTE U ZAGREBU - SVEUČILIŠNI RAČUNSKI CENTAR - SRCE</t>
  </si>
  <si>
    <t>OPĆINSKI SUD U IVANIĆ GRADU</t>
  </si>
  <si>
    <t>OPĆINSKI SUD U ZAPREŠIĆU</t>
  </si>
  <si>
    <t>HRVATSKA POLJOPRIVREDNA AGENCIJA</t>
  </si>
  <si>
    <t>4/2014-6</t>
  </si>
  <si>
    <t>DOM ZA ODRASLE OSOBE NUŠTAR</t>
  </si>
  <si>
    <t>DOM ZA PSIHIČKI BOLESNE ODRASLE OSOBE SV. FRANE ZADAR</t>
  </si>
  <si>
    <t>DOM ZA ODRASLE OSOBE LJESKOVICA</t>
  </si>
  <si>
    <t>CENTAR ZA SOCIJALNU SKRB SINJ</t>
  </si>
  <si>
    <t>OPĆINSKI SUD U GOSPIĆU</t>
  </si>
  <si>
    <t>DOM ZA ODGOJ DJECE I MLADEŽI SPLIT</t>
  </si>
  <si>
    <t>ZATVOR U ZADRU</t>
  </si>
  <si>
    <t>OPĆINSKI SUD U ZLATARU</t>
  </si>
  <si>
    <t>OPĆINSKI SUD U NAŠICAMA</t>
  </si>
  <si>
    <t>OPĆINSKI SUD U KRAPINI</t>
  </si>
  <si>
    <t>OPĆINSKI SUD U ZABOKU</t>
  </si>
  <si>
    <t>VISOKA ŠKOLA ZA MENEDŽMENT U TURIZMU I INFORMATICI</t>
  </si>
  <si>
    <t>SVEUČILIŠTE J.J STROSSMAYERA U OSIJEKU - POLJOPRIVREDNI FAKULTET</t>
  </si>
  <si>
    <t>MEĐIMURSKO VELEUČILIŠTE U ČAKOVCU</t>
  </si>
  <si>
    <t>DRŽAVNI ARHIV U VIROVITICI</t>
  </si>
  <si>
    <t>VELEUČILIŠTE LAVOSLAV RUŽIČKA U VUKOVARU</t>
  </si>
  <si>
    <t>TRGOVAČKI SUD U VARAŽDINU</t>
  </si>
  <si>
    <t>TRGOVAČKI SUD U OSIJEKU</t>
  </si>
  <si>
    <t>PARK PRIRODE VRANSKO JEZERO-PAKOŠTANE</t>
  </si>
  <si>
    <t>SVEUČILIŠTE U SPLITU - SVEUČILIŠNA KNJIŽNICA</t>
  </si>
  <si>
    <t>MUZEJ HRVATSKOG ZAGORJA</t>
  </si>
  <si>
    <t>OPĆINSKI SUD U ČAKOVCU</t>
  </si>
  <si>
    <t>URED DRŽAVNE UPRAVE U BJELOVARSKO-BILOGORSKOJ ŽUPANIJI</t>
  </si>
  <si>
    <t>OPĆINSKI SUD U KNINU</t>
  </si>
  <si>
    <t>OPĆINSKI SUD U SAMOBORU</t>
  </si>
  <si>
    <t>OKVIRNI SPORAZUM - Opskrba električnom energijom</t>
  </si>
  <si>
    <t>OKVIRNI SPORAZUM - Poštanske usluge</t>
  </si>
  <si>
    <t>OKVIRNI SPORAZUM - Usluge osiguranja</t>
  </si>
  <si>
    <t>6/2013.</t>
  </si>
  <si>
    <t>OPĆINSKI SUD U VALPOVU</t>
  </si>
  <si>
    <t>PREKRŠAJNI SUD U ZLATARU</t>
  </si>
  <si>
    <t>PREKRŠAJNI SUD U RIJECI</t>
  </si>
  <si>
    <t>PREKRŠAJNI SUD U KUTINI</t>
  </si>
  <si>
    <t>PREKRŠAJNI SUD U VRBOVCU</t>
  </si>
  <si>
    <t>ŽUPANIJSKI SUD U SISKU</t>
  </si>
  <si>
    <t>ŽUPANIJSKI SUD U VUKOVARU</t>
  </si>
  <si>
    <t>OPĆINSKO DRŽAVNO ODVJETNIŠTVO U POŽEGI</t>
  </si>
  <si>
    <t>PREKRŠAJNI SUD U VISU</t>
  </si>
  <si>
    <t>PREKRŠAJNI SUD U SESVETAMA</t>
  </si>
  <si>
    <t>PREKRŠAJNI SUD U DARUVARU</t>
  </si>
  <si>
    <t>PREKRŠAJNI SUD U KOPRIVNICI</t>
  </si>
  <si>
    <t>PREKRŠAJNI SUD U BELOM MANASTIRU</t>
  </si>
  <si>
    <t>OPĆINSKO DRŽAVNO ODVJETNIŠTVO U SLAVONSKOM BRODU</t>
  </si>
  <si>
    <t>PREKRŠAJNI SUD U GOSPIĆU</t>
  </si>
  <si>
    <t>PREKRŠAJNI SUD U BJELOVARU</t>
  </si>
  <si>
    <t>PREKRŠAJNI SUD U KARLOVCU</t>
  </si>
  <si>
    <t>PREKRŠAJNI SUD U METKOVIĆU</t>
  </si>
  <si>
    <t>PREKRŠAJNI SUD U ŠIBENIKU</t>
  </si>
  <si>
    <t>PREKRŠAJNI SUD U SAMOBORU</t>
  </si>
  <si>
    <t>OPĆINSKI SUD U ŠIBENIKU</t>
  </si>
  <si>
    <t>OPĆINSKO DRŽAVNO ODVJETNIŠTVO U DUBROVNIKU</t>
  </si>
  <si>
    <t>PREKRŠAJNI SUD U VIROVITICI</t>
  </si>
  <si>
    <t>PREKRŠAJNI SUD U RABU</t>
  </si>
  <si>
    <t>PREKRŠAJNI SUD U KRAPINI</t>
  </si>
  <si>
    <t>PREKRŠAJNI SUD U MALOM LOŠINJU</t>
  </si>
  <si>
    <t>PREKRŠAJNI SUD U POŽEGI</t>
  </si>
  <si>
    <t>PREKRŠAJNI SUD U ZABOKU</t>
  </si>
  <si>
    <t>PREKRŠAJNI SUD U KORČULI</t>
  </si>
  <si>
    <t>PREKRŠAJNI SUD U IMOTSKOM</t>
  </si>
  <si>
    <t>PREKRŠAJNI SUD U SENJU</t>
  </si>
  <si>
    <t>OPĆINSKO DRŽAVNO ODVJETNIŠTVO U SAMOBORU</t>
  </si>
  <si>
    <t>OPĆINSKI SUD U JASTREBARSKOM</t>
  </si>
  <si>
    <t>5/2014.</t>
  </si>
  <si>
    <t>INSTITUT ZA MIGRACIJE I NARODNOSTI</t>
  </si>
  <si>
    <t>SVEUČILIŠTE U ZAGREBU - FARMACEUTSKO-BIOKEMIJSKI FAKULTET</t>
  </si>
  <si>
    <t>SVEUČILIŠTE U ZAGREBU - FAKULTET ELEKTROTEHNIKE I RAČUNARSTVA</t>
  </si>
  <si>
    <t>SVEUČILIŠTE U ZAGREBU - ARHITEKTONSKI FAKULTET</t>
  </si>
  <si>
    <t>CENTAR ZA PRUŽANJE USLUGA U ZAJEDNICI LIPIK</t>
  </si>
  <si>
    <t>DOM ZA ODRASLE OSOBE OREHOVICA</t>
  </si>
  <si>
    <t>VELEUČILIŠTE MARKO MARULIĆ U KNINU</t>
  </si>
  <si>
    <t>SVEUČILIŠTE J.J STROSSMAYERA U OSIJEKU - PRAVNI FAKULTET</t>
  </si>
  <si>
    <t>SVEUČILIŠTE U SPLITU - FAKULTET GRAĐEVINARSTVA, ARHITEKTURE I GEODEZIJE</t>
  </si>
  <si>
    <t>SVEUČILIŠTE U SPLITU - PRAVNI FAKULTET</t>
  </si>
  <si>
    <t>URED DRŽAVNE UPRAVE U DUBROVAČKO-NERETVANSKOJ ŽUPANIJI</t>
  </si>
  <si>
    <t>TIFLOLOŠKI MUZEJ</t>
  </si>
  <si>
    <t>SVEUČILIŠTE U ZAGREBU - TEKSTILNO TEHNOLOŠKI FAKULTET</t>
  </si>
  <si>
    <t>DJEČJI DOM IVANA BRLIĆ MAŽURANIĆ, LOVRAN</t>
  </si>
  <si>
    <t>SVEUČILIŠTE J.J.STROSSMAYERA U OSIJEKU - ELEKTROTEHNIČKI FAKULTET</t>
  </si>
  <si>
    <t>SVEUČILIŠTE J.J STROSSMAYERA U OSIJEKU - PREHRAMBENO TEHNOLOŠKI FAKULTET</t>
  </si>
  <si>
    <t>CENTAR ZA PRUŽANJE USLUGA U ZAJEDNICI KUĆA SRETNIH CIGLICA, SLAVONSKI BROD</t>
  </si>
  <si>
    <t>SVEUČILIŠTE U ZAGREBU - AKADEMIJA DRAMSKE UMJETNOSTI</t>
  </si>
  <si>
    <t>SVEUČILIŠTE U SPLITU - MEDICINSKI FAKULTET</t>
  </si>
  <si>
    <t>SVEUČILIŠTE U ZAGREBU - ŠUMARSKI FAKULTET</t>
  </si>
  <si>
    <t>DVOR TRAKOŠČAN</t>
  </si>
  <si>
    <t>SVEUČILIŠTE U ZAGREBU - MUZIČKA AKADEMIJA</t>
  </si>
  <si>
    <t>SVEUČILIŠTE U ZAGREBU - VETERINARSKI FAKULTET</t>
  </si>
  <si>
    <t>SVEUČILIŠTE U ZAGREBU - KINEZIOLOŠKI FAKULTET</t>
  </si>
  <si>
    <t>GALERIJA KLOVIĆEVI DVORI</t>
  </si>
  <si>
    <t>SVEUČILIŠTE J.J STROSSMAYERA U OSIJEKU - STROJARSKI FAKULTET U SLAVONSKOME BRODU</t>
  </si>
  <si>
    <t>DOM ZA DJECU I MLAĐE PUNOLJETNE OSOBE SV. ANA, VINKOVCI</t>
  </si>
  <si>
    <t>VELEUČILIŠTE U ŠIBENIKU</t>
  </si>
  <si>
    <t>DRŽAVNI ARHIV U SPLITU</t>
  </si>
  <si>
    <t>INSTITUT ZA POVIJEST UMJETNOSTI</t>
  </si>
  <si>
    <t>CENTAR ZA SOCIJALNU SKRB BIOGRAD NA MORU</t>
  </si>
  <si>
    <t>CENTAR ZA SOCIJALNU SKRB ZADAR</t>
  </si>
  <si>
    <t>CENTAR ZA SOCIJALNU SKRB ĐURĐEVAC</t>
  </si>
  <si>
    <t>MEĐUNARODNI CENTAR ZA PODVODNU ARHEOLOGIJU</t>
  </si>
  <si>
    <t>VELEUČILIŠTE U KARLOVCU</t>
  </si>
  <si>
    <t>DRŽAVNI ARHIV U ŠIBENIKU</t>
  </si>
  <si>
    <t>SVEUČILIŠTE U SPLITU - KATOLIČKI BOGOSLOVNI FAKULTET</t>
  </si>
  <si>
    <t>CENTAR ZA SOCIJALNU SKRB GOSPIĆ</t>
  </si>
  <si>
    <t>DOM ZA PSIHIČKI BOLESNE ODRASLE OSOBE TROGIR</t>
  </si>
  <si>
    <t>CENTAR ZA ODGOJ, OBRAZOVANJE I OSPOSOBLJAVANJE OMLADINE, LUG SAMOBORSKI</t>
  </si>
  <si>
    <t>CENTAR ZA SOCIJALNU SKRB KNIN</t>
  </si>
  <si>
    <t>CENTAR ZA SOCIJALNU SKRB ŠIBENIK</t>
  </si>
  <si>
    <t>CENTAR ZA ODGOJ I OBRAZOVANJE VELIKA GORICA</t>
  </si>
  <si>
    <t>DOM LOBOR GRAD</t>
  </si>
  <si>
    <t>CENTAR ZA SOCIJALNU SKRB DRNIŠ</t>
  </si>
  <si>
    <t>CENTAR ZA SOCIJALNU SKRB SPLIT</t>
  </si>
  <si>
    <t>CENTAR ZA REHABILITACIJU FRA ANTE SEKELEZ, VRLIKA</t>
  </si>
  <si>
    <t>CENTAR ZA SOCIJALNU SKRB OMIŠ</t>
  </si>
  <si>
    <t>CENTAR ZA SOCIJALNU SKRB TROGIR</t>
  </si>
  <si>
    <t>HRVATSKI ŠPORTSKI MUZEJ</t>
  </si>
  <si>
    <t>SVEUČILIŠTE JURJA DOBRILE U PULI</t>
  </si>
  <si>
    <t>CENTAR ZA SOCIJALNU SKRB IMOTSKI</t>
  </si>
  <si>
    <t>SVEUČILIŠTE U RIJECI</t>
  </si>
  <si>
    <t>CENTAR ZA SOCIJALNU SKRB ZAPREŠIĆ</t>
  </si>
  <si>
    <t>CENTAR ZA SOCIJALNU SKRB VALPOVO</t>
  </si>
  <si>
    <t>INSTITUT ZA FIZIKU</t>
  </si>
  <si>
    <t>CENTAR ZA SOCIJALNU SKRB VELIKA GORICA</t>
  </si>
  <si>
    <t>CENTAR ZA REHABILITACIJU SV. FILIP I JAKOV</t>
  </si>
  <si>
    <t>CENTAR ZA SOCIJALNU SKRB SAMOBOR</t>
  </si>
  <si>
    <t>CENTAR ZA SOCIJALNU SKRB VARAŽDIN</t>
  </si>
  <si>
    <t>CENTAR ZA REHABILITACIJU OZALJ</t>
  </si>
  <si>
    <t>DOM ZA ODGOJ DJECE I MLADEŽI ZAGREB</t>
  </si>
  <si>
    <t>CENTAR ZA SOCIJALNU SKRB MAKARSKA</t>
  </si>
  <si>
    <t>MODERNA GALERIJA</t>
  </si>
  <si>
    <t>DOM ZA DJECU ZA MLAĐE I PUNOLJETNE OSOBE ZAGREB</t>
  </si>
  <si>
    <t>CENTAR ZA REHABILITACIJU KOMAREVO</t>
  </si>
  <si>
    <t>SVEUČILIŠTE J.J STROSSMAYERA U OSIJEKU - GRAĐEVINSKI FAKULTET</t>
  </si>
  <si>
    <t>INSTITUT ZA MEDICINSKA ISTRAŽIVANJA I MEDICINU RADA</t>
  </si>
  <si>
    <t>CENTAR ZA REHABILITACIJU ZAGREB</t>
  </si>
  <si>
    <t>CENTAR ZA ODGOJ I OBRAZOVANJE ŠUBIĆEVAC, ŠIBENIK</t>
  </si>
  <si>
    <t>CENTAR ZA SOCIJALNU SKRB ČAZMA</t>
  </si>
  <si>
    <t>CENTAR ZA SOCIJALNU SKRB VUKOVAR</t>
  </si>
  <si>
    <t>CENTAR ZA SOCIJALNU SKRB ZLATAR BISTRICA</t>
  </si>
  <si>
    <t>CENTAR ZA SOCIJALNU SKRB CRES-LOŠINJ</t>
  </si>
  <si>
    <t>CENTAR ZA SOCIJALNU SKRB KRK</t>
  </si>
  <si>
    <t>CENTAR ZA SOCIJALNU SKRB NOVI MAROF</t>
  </si>
  <si>
    <t>CENTAR ZA SOCIJALNU SKRB SENJ</t>
  </si>
  <si>
    <t>CENTAR ZA SOCIJALNU SKRB ČAKOVEC</t>
  </si>
  <si>
    <t>CENTAR ZA SOCIJALNU SKRB KRAPINA</t>
  </si>
  <si>
    <t>DNEVNI CENTAR ZA REHABILITACIJU SLAVA RAŠKAJ, RIJEKA</t>
  </si>
  <si>
    <t>CENTAR ZA SOCIJALNU SKRB SLATINA</t>
  </si>
  <si>
    <t>CENTAR ZA SOCIJALNU SKRB GLINA</t>
  </si>
  <si>
    <t>CENTAR ZA SOCIJALNU SKRB SLUNJ</t>
  </si>
  <si>
    <t>DOM ZA ODGOJ DJECE I MLADEŽI RIJEKA</t>
  </si>
  <si>
    <t>NACIONALNI CENTAR ZA VANJSKO VREDNOVANJE OBRAZOVANJA</t>
  </si>
  <si>
    <t>CENTAR ZA REHABILITACIJU PULA</t>
  </si>
  <si>
    <t>CENTAR ZA ODGOJ I OBRAZOVANJE JURAJ BONAČI, SPLIT</t>
  </si>
  <si>
    <t>CENTAR ZA SOCIJALNU SKRB OGULIN</t>
  </si>
  <si>
    <t>CENTAR ZA SOCIJALNU SKRB BELI MANASTIR</t>
  </si>
  <si>
    <t>CENTAR ZA SOCIJALNU SKRB ŽUPANJA</t>
  </si>
  <si>
    <t>HRVATSKI MUZEJ NAIVNE UMJETNOSTI</t>
  </si>
  <si>
    <t>MUZEJ VUČEDOLSKE KULTURE</t>
  </si>
  <si>
    <t>DJEČJI DOM VRBINA, SISAK</t>
  </si>
  <si>
    <t>DOM ZA ODRASLE OSOBE BOROVA</t>
  </si>
  <si>
    <t>SVEUČILIŠTE J.J STROSSMAYERA U OSIJEKU - FILOZOFSKI FAKULTET</t>
  </si>
  <si>
    <t>CENTAR ZA SOCIJALNU SKRB KOPRIVNICA</t>
  </si>
  <si>
    <t>CENTAR ZA SOCIJALNU SKRB KARLOVAC</t>
  </si>
  <si>
    <t>CENTAR ZA SOCIJALNU SKRB VINKOVCI</t>
  </si>
  <si>
    <t>CENTAR ZA REHABILITACIJU MALA TEREZIJA, VINKOVCI</t>
  </si>
  <si>
    <t>CENTAR ZA SOCIJALNU SKRB VIROVITICA</t>
  </si>
  <si>
    <t>CENTAR ZA SOCIJALNU SKRB HRVATSKA KOSTAJNICA</t>
  </si>
  <si>
    <t>CENTAR ZA SOCIJALNU SKRB IVANEC</t>
  </si>
  <si>
    <t>DOM ZA ODGOJ DJECE I MLADEŽI PULA</t>
  </si>
  <si>
    <t>DOM ZA PSIHIČKI BOLESNE ODRASLE OSOBE ZAGREB</t>
  </si>
  <si>
    <t>DOM ZA ODGOJ DJECE BEDEKOVČINA</t>
  </si>
  <si>
    <t>CENTAR ZA SOCIJALNU SKRB SISAK</t>
  </si>
  <si>
    <t>CENTAR ZA SOCIJALNU SKRB ROVINJ</t>
  </si>
  <si>
    <t>DOM ZA DJECU I MLAĐE PUNOLJETNE OSOBE BRAĆA MAŽURANIĆI, NOVI VINODOLSKI</t>
  </si>
  <si>
    <t>CENTAR ZA REHABILITACIJU STANČIĆ, BRCKOVLJANI</t>
  </si>
  <si>
    <t>CENTAR ZA SOCIJALNU SKRB PETRINJA</t>
  </si>
  <si>
    <t>DOM ZA DJECU KLASJE, OSIJEK</t>
  </si>
  <si>
    <t>CENTAR ZA SOCIJALNU SKRB NOVSKA</t>
  </si>
  <si>
    <t>CENTAR ZA SOCIJALNU SKRB ZAGREB</t>
  </si>
  <si>
    <t>CENTAR ZA SOCIJALNU SKRB RIJEKA</t>
  </si>
  <si>
    <t>CENTAR ZA SOCIJALNU SKRB DARUVAR</t>
  </si>
  <si>
    <t>CENTAR ZA SOCIJALNU SKRB NAŠICE</t>
  </si>
  <si>
    <t>CENTAR ZA SOCIJALNU SKRB PAKRAC</t>
  </si>
  <si>
    <t>CENTAR ZA SOCIJALNU SKRB SLAVONSKI BROD</t>
  </si>
  <si>
    <t>CENTAR ZA SOCIJALNU SKRB KRIŽEVCI</t>
  </si>
  <si>
    <t>DOM ZA PSIHIČKI BOLESNE ODRASLE OSOBE ZEMUNIK</t>
  </si>
  <si>
    <t>DOM ZA ODRASLE OSOBE TURNIĆ, RIJEKA</t>
  </si>
  <si>
    <t>SVEUČILIŠTE U SPLITU</t>
  </si>
  <si>
    <t>CENTAR ZA SOCIJALNU SKRB KUTINA</t>
  </si>
  <si>
    <t>SVEUČILIŠTE U ZAGREBU - STOMATOLOŠKI FAKULTET</t>
  </si>
  <si>
    <t>CENTAR ZA SOCIJALNU SKRB POŽEGA</t>
  </si>
  <si>
    <t>ARHEOLOŠKI MUZEJ NARONA</t>
  </si>
  <si>
    <t>CENTAR ZA PRUŽANJE USLUGA U ZAJEDNICI VLADIMIR NAZOR</t>
  </si>
  <si>
    <t>CENTAR ZA SOCIJALNU SKRB BUJE</t>
  </si>
  <si>
    <t>CENTAR ZA SOCIJALNU SKRB NOVA GRADIŠKA</t>
  </si>
  <si>
    <t>DOM ZA PSIHIČKI BOLESNE ODRASLE OSOBE BLATO</t>
  </si>
  <si>
    <t>DOM ZA STARIJE I I TEŠKO BOLESNE OSOBE MAJKA MARIJA PETKOVIĆ</t>
  </si>
  <si>
    <t>CENTAR ZA ODGOJ I OBRAZOVANJE ZAJEZDA, BUDINŠČINA</t>
  </si>
  <si>
    <t>CENTAR ZA SOCIJALNU SKRB PAZIN</t>
  </si>
  <si>
    <t>VELEUČILIŠTE U SLAVONSKOM BRODU</t>
  </si>
  <si>
    <t>TEHNIČKO VELEUČILIŠTE U ZAGREBU</t>
  </si>
  <si>
    <t>URED DRŽAVNE UPRAVE U KRAPINSKO-ZAGORSKOJ ŽUPANIJI</t>
  </si>
  <si>
    <t>SVEUČILIŠTE U ZAGREBU - METALURŠKI FAKULTET SISAK</t>
  </si>
  <si>
    <t>CENTAR ZA PRUŽANJE USLUGA U ZAJEDNICI IZVOR, SELCE</t>
  </si>
  <si>
    <t>CENTAR ZA ODGOJ I OBRAZOVANJE TUŠKANAC</t>
  </si>
  <si>
    <t>CENTAR ZA PRUŽANJE USLUGA U ZAJEDNICI OSIJEK - JA KAO I TI</t>
  </si>
  <si>
    <t>SVEUČILIŠTE U RIJECI - TEHNIČKI FAKULTET</t>
  </si>
  <si>
    <t>CENTAR ZA SOCIJALNU SKRB PULA-POLA</t>
  </si>
  <si>
    <t>HRVATSKI MUZEJ TURIZMA</t>
  </si>
  <si>
    <t>DOM ZA PSIHIČKI BOLESNE ODRASLE OSOBE SVETA NEDJELJA NEDEŠĆINA</t>
  </si>
  <si>
    <t>CENTAR ZA SOCIJALNU SKRB DUBROVNIK</t>
  </si>
  <si>
    <t>DOM ZA DJECU I MLAĐE PUNOLJETNE OSOBE MASLINA, DUBROVNIK</t>
  </si>
  <si>
    <t>CENTAR ZA SOCIJALNU SKRB LUDBREG</t>
  </si>
  <si>
    <t>DOM ZA PSIHIČKI BOLESNE ODRASLE OSOBE METKOVIĆ</t>
  </si>
  <si>
    <t>DOM ZA ODGOJ DJECE I MLADEŽI OSIJEK</t>
  </si>
  <si>
    <t>CENTAR ZA REHABILITACIJU JOSIPOVAC, MLINI</t>
  </si>
  <si>
    <t>DOM ZA PSIHIČKI BOLESNE ODRASLE OSOBE BJELOVAR</t>
  </si>
  <si>
    <t>CENTAR ZA SOCIJALNU SKRB DUGA RESA</t>
  </si>
  <si>
    <t>CENTAR ZA SOCIJALNU SKRB METKOVIĆ</t>
  </si>
  <si>
    <t>DOM ZA STARIJE OSOBE OKLAJ</t>
  </si>
  <si>
    <t>DOM ZA ODGOJ DJECE I MLADEŽI ZADAR</t>
  </si>
  <si>
    <t>CENTAR ZA SOCIJALNU SKRB KORČULA</t>
  </si>
  <si>
    <t>AGENCIJA ZA ODGOJ I OBRAZOVANJE</t>
  </si>
  <si>
    <t>MUZEJ ANTIČKOG STAKLA ZADAR</t>
  </si>
  <si>
    <t>CENTAR ZA SOCIJALNU SKRB BJELOVAR</t>
  </si>
  <si>
    <t>ZBIRKA UMJETNINA ANTE I WILTRUDE TOPIĆ MIMARA</t>
  </si>
  <si>
    <t>DRŽAVNI ARHIV U BJELOVARU</t>
  </si>
  <si>
    <t>DRŽAVNI ARHIV ZA MEĐIMURJE</t>
  </si>
  <si>
    <t>CENTAR ZA SOCIJALNU SKRB PLOČE</t>
  </si>
  <si>
    <t>DRŽAVNI ARHIV U RIJECI</t>
  </si>
  <si>
    <t>DOM ZA ODGOJ DJECE I MLADEŽI KARLOVAC</t>
  </si>
  <si>
    <t>DOM ZA DJECU ZA MLAĐE I PUNOLJETNE OSOBE PULA</t>
  </si>
  <si>
    <t>CENTAR ZA SOCIJALNU SKRB POREČ</t>
  </si>
  <si>
    <t>ANSAMBL LADO</t>
  </si>
  <si>
    <t>ODGOJNI DOM MALI LOŠINJ</t>
  </si>
  <si>
    <t>INSTITUT ZA ETNOLOGIJU I FOLKLORISTIKU</t>
  </si>
  <si>
    <t>CENTAR ZA SOCIJALNU SKRB OPATIJA</t>
  </si>
  <si>
    <t>PARK PRIRODE TELAŠĆICA SALI</t>
  </si>
  <si>
    <t>NACIONALNI PARK MLJET</t>
  </si>
  <si>
    <t>INSTITUT ZA FILOZOFIJU</t>
  </si>
  <si>
    <t>SVEUČILIŠTE U RIJECI - GRAĐEVINSKI FAKULTET U RIJECI</t>
  </si>
  <si>
    <t>CENTAR ZA SOCIJALNU SKRB DUGO SELO</t>
  </si>
  <si>
    <t>INSTITUT ZA ANTROPOLOGIJU</t>
  </si>
  <si>
    <t>FAKULTET ORGANIZACIJE I INFORMATIKE U VARAŽDINU</t>
  </si>
  <si>
    <t>ODGOJNI DOM IVANEC</t>
  </si>
  <si>
    <t>CENTAR ZA SOCIJALNU SKRB BRAČ-SUPETAR</t>
  </si>
  <si>
    <t>CENTAR ZA SOCIJALNU SKRB JASTREBARSKO</t>
  </si>
  <si>
    <t>DRŽAVNI ZAVOD ZA ZAŠTITU PRIRODE</t>
  </si>
  <si>
    <t>ZDRAVSTVENO VELEUČILIŠTE</t>
  </si>
  <si>
    <t>URED DRŽAVNE UPRAVE U LIČKO-SENJSKOJ ŽUPANIJI</t>
  </si>
  <si>
    <t>CENTAR ZA REHABILITACIJU RIJEKA</t>
  </si>
  <si>
    <t>DRŽAVNI ARHIV U OSIJEKU</t>
  </si>
  <si>
    <t>EKONOMSKI INSTITUT ZAGREB</t>
  </si>
  <si>
    <t>DOM ZA PSIHIČKI BOLESNE ODRASLE OSOBE VILA MARIA, PULA</t>
  </si>
  <si>
    <t>CENTAR ZA ODGOJ I OBRAZOVANJE SLAVA RAŠKAJ, SPLIT</t>
  </si>
  <si>
    <t>HRVATSKI AUDIOVIZUALNI CENTAR</t>
  </si>
  <si>
    <t>INSTITUT ZA RAZVOJ I MEĐUNARODNE ODNOSE</t>
  </si>
  <si>
    <t>CENTAR ZA ODGOJ I OBRAZOVANJE DUBRAVA</t>
  </si>
  <si>
    <t>INSTITUT ZA JAVNE FINANCIJE</t>
  </si>
  <si>
    <t>SVEUČILIŠTE U ZAGREBU - FAKULTET KEMIJSKOG INŽENJERSTVA I TEHNOLOGIJE</t>
  </si>
  <si>
    <t>CENTAR ZA SOCIJALNU SKRB GAREŠNICA</t>
  </si>
  <si>
    <t>11/2013.</t>
  </si>
  <si>
    <t>PREKRŠAJNI SUD U VARAŽDINU</t>
  </si>
  <si>
    <t>OPĆINSKI SUD U BELOM MANASTIRU</t>
  </si>
  <si>
    <t>OPĆINSKI RADNI SUD U ZAGREBU</t>
  </si>
  <si>
    <t>OPĆINSKO DRŽAVNO ODVJETNIŠTVO U NAŠICAMA</t>
  </si>
  <si>
    <t>PREKRŠAJNI SUD U PULI - POLA</t>
  </si>
  <si>
    <t>OPĆINSKO DRŽAVNO ODVJETNIŠTVO U ZLATARU</t>
  </si>
  <si>
    <t>PREKRŠAJNI SUD U VUKOVARU</t>
  </si>
  <si>
    <t>PREKRŠAJNI SUD U NOVOJ GRADIŠKI</t>
  </si>
  <si>
    <t>PREKRŠAJNI SUD U SLAVONSKOM BRODU</t>
  </si>
  <si>
    <t>TRGOVAČKI SUD U PAZINU</t>
  </si>
  <si>
    <t>PREKRŠAJNI SUD U VELIKOJ GORICI</t>
  </si>
  <si>
    <t>URED ZA SUZBIJANJE KORUPCIJE I ORGANIZIRANOG KRIMINALITETA - USKOK</t>
  </si>
  <si>
    <t>OPĆINSKO DRŽAVNO ODVJETNIŠTVO U ŠIBENIKU</t>
  </si>
  <si>
    <t>PREKRŠAJNI SUD U NAŠICAMA</t>
  </si>
  <si>
    <t>PREKRŠAJNI SUD U VALPOVU</t>
  </si>
  <si>
    <t>OPĆINSKI SUD U VRBOVCU</t>
  </si>
  <si>
    <t>PREKRŠAJNI SUD U ZAPREŠIĆU</t>
  </si>
  <si>
    <t>PREKRŠAJNI SUD U DELNICAMA</t>
  </si>
  <si>
    <t>PREKRŠAJNI SUD U UMAGU</t>
  </si>
  <si>
    <t>PREKRŠAJNI SUD U OPATIJI</t>
  </si>
  <si>
    <t>PREKRŠAJNI SUD U ČAKOVCU</t>
  </si>
  <si>
    <t>UPRAVNI SUD U RIJECI</t>
  </si>
  <si>
    <t>8/2013.</t>
  </si>
  <si>
    <t>4/2015.</t>
  </si>
  <si>
    <t>5/2013.</t>
  </si>
  <si>
    <t>02.05.0015</t>
  </si>
  <si>
    <t>Konačno ukupno plaćeno temeljem ugovora (kn)</t>
  </si>
  <si>
    <t>OKVIRNI SPORAZUM - Motorna vozila</t>
  </si>
  <si>
    <t>8/2012.</t>
  </si>
  <si>
    <t>9/2012.</t>
  </si>
  <si>
    <t>14/2013.</t>
  </si>
  <si>
    <t>2/2013-1</t>
  </si>
  <si>
    <t>SREDIŠNJI REGISTAR OSIGURANIKA</t>
  </si>
  <si>
    <t>ZAVOD ZA VJEŠTAČENJE, PROFESIONALNU REHABILITACIJU I ZAPOŠLJAVANJE OSOBA S INVALIDITETOM</t>
  </si>
  <si>
    <t>AGENCIJA ZA ISTRAŽIVANJE NESREĆA U ZRAČNOM, POMORSKOM I ŽELJEZNIČKOM PROMETU</t>
  </si>
  <si>
    <t>2/2013-2</t>
  </si>
  <si>
    <t>2/2013-5</t>
  </si>
  <si>
    <t>2/2013-6</t>
  </si>
  <si>
    <t>2 godine</t>
  </si>
  <si>
    <t>Uredski materijal</t>
  </si>
  <si>
    <t>Toneri i tinte</t>
  </si>
  <si>
    <t>All-In-One osobna računala (G2) i Prijenosna računala (G3)</t>
  </si>
  <si>
    <t>Osobna računala i monitori (G1)</t>
  </si>
  <si>
    <t>Neprekidna napajanja (G4) i Ostala oprema (G5)</t>
  </si>
  <si>
    <t>Elektroničke komunikacijske usluge u pokretnoj mreži i oprema</t>
  </si>
  <si>
    <t>Nabava motornih vozila putem operativnog leasinga s ostatkom vrijednosti</t>
  </si>
  <si>
    <t>6 mjeseci</t>
  </si>
  <si>
    <t>1 godina</t>
  </si>
  <si>
    <t>Autogume i hoteli</t>
  </si>
  <si>
    <t>4 godine</t>
  </si>
  <si>
    <t>Loživo ulje - dostava na lokacije</t>
  </si>
  <si>
    <t>Plavi dizel - dostava na lokacije</t>
  </si>
  <si>
    <t>Plavi dizel - opskrba na benzinskim postajama</t>
  </si>
  <si>
    <t>Benzinsko i dizelsko gorivo - dostava na lokacije</t>
  </si>
  <si>
    <t>Gorivo - opskrba na benzinskim postajama na području Grada Zagreba i Zagrebačke županije</t>
  </si>
  <si>
    <t>Gorivo - opskrba na benzinskim postajama na području Republike Hrvatske (osim Grada Zagreba i Zagrebačke županije)</t>
  </si>
  <si>
    <t>Opskrba električnom energijom</t>
  </si>
  <si>
    <t>Nabava poštanskih usluga</t>
  </si>
  <si>
    <t>Kolektivno osiguranje</t>
  </si>
  <si>
    <t>Usluge obveznog osiguranja od automobilske odgovornosti i kasko osiguranja</t>
  </si>
  <si>
    <t xml:space="preserve">otvoreni </t>
  </si>
  <si>
    <t xml:space="preserve">2015/S 002-0005852 </t>
  </si>
  <si>
    <t>2015/S 002-0010117</t>
  </si>
  <si>
    <t>2015/S 002-0020752</t>
  </si>
  <si>
    <t>2015/S 002-0026145</t>
  </si>
  <si>
    <t>2012/S 002-0047965</t>
  </si>
  <si>
    <t>2013/S 002-0014558</t>
  </si>
  <si>
    <t>2013/S 002-0023595</t>
  </si>
  <si>
    <t>2013/S 002-0035196</t>
  </si>
  <si>
    <t>2013/S 002-0036239</t>
  </si>
  <si>
    <t>2013/S 002-0038255</t>
  </si>
  <si>
    <t>2013/S 002-0040650</t>
  </si>
  <si>
    <t>2013/S 002-0054101</t>
  </si>
  <si>
    <t>2013/S 002-0069800</t>
  </si>
  <si>
    <t>2013/S 002-0080859</t>
  </si>
  <si>
    <t>2013/S 002-0098575</t>
  </si>
  <si>
    <t>2013/S 002-0101704</t>
  </si>
  <si>
    <t>2014/S 002-007733</t>
  </si>
  <si>
    <t>2014/S 002-0024724</t>
  </si>
  <si>
    <t>2014/S 002-0043144</t>
  </si>
  <si>
    <t>2014/S 002-0043401</t>
  </si>
  <si>
    <t>2014/S 002-0040033</t>
  </si>
  <si>
    <t>2012/S 002-0071541</t>
  </si>
  <si>
    <t>2012/S 002-0090925</t>
  </si>
  <si>
    <t>OPĆINSKI SUD U METKOVIĆU</t>
  </si>
  <si>
    <t>Izvršenje Okvirnog sporazuma za 2015. godinu</t>
  </si>
  <si>
    <t xml:space="preserve">* za polja označenima sivom bojom korisnici nisu dostavili podatak o realizaciji ugovora/narudžbenice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</si>
</sst>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3" fillId="5" borderId="2" xfId="0" applyNumberFormat="1" applyFont="1" applyFill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6" fillId="0" borderId="8" xfId="1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right" vertical="center"/>
    </xf>
    <xf numFmtId="0" fontId="0" fillId="0" borderId="0" xfId="0" applyBorder="1"/>
    <xf numFmtId="4" fontId="3" fillId="5" borderId="0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7" fontId="1" fillId="0" borderId="3" xfId="0" applyNumberFormat="1" applyFont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321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136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660</v>
      </c>
      <c r="C3" s="3" t="s">
        <v>137</v>
      </c>
      <c r="D3" s="3" t="s">
        <v>689</v>
      </c>
      <c r="E3" s="3" t="s">
        <v>24</v>
      </c>
      <c r="F3" s="21">
        <v>41556</v>
      </c>
      <c r="G3" s="3" t="s">
        <v>659</v>
      </c>
      <c r="H3" s="13">
        <v>48500000</v>
      </c>
      <c r="I3" s="13">
        <v>31080061.399999999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11657261.34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108" x14ac:dyDescent="0.25">
      <c r="A8" s="3">
        <v>1</v>
      </c>
      <c r="B8" s="14" t="s">
        <v>49</v>
      </c>
      <c r="C8" s="15" t="str">
        <f>"887/2015"</f>
        <v>887/2015</v>
      </c>
      <c r="D8" s="15" t="str">
        <f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8" s="16">
        <v>42262</v>
      </c>
      <c r="F8" s="22"/>
      <c r="G8" s="13">
        <v>72.47</v>
      </c>
      <c r="H8" s="22"/>
      <c r="I8" s="13">
        <v>5436.31</v>
      </c>
      <c r="J8" s="13">
        <f>I8*1.25</f>
        <v>6795.3875000000007</v>
      </c>
      <c r="K8" s="6"/>
    </row>
    <row r="9" spans="1:11" ht="108" x14ac:dyDescent="0.25">
      <c r="A9" s="3">
        <v>2</v>
      </c>
      <c r="B9" s="14" t="s">
        <v>49</v>
      </c>
      <c r="C9" s="15" t="str">
        <f>"163/2015"</f>
        <v>163/2015</v>
      </c>
      <c r="D9" s="15" t="str">
        <f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9" s="16">
        <v>42054</v>
      </c>
      <c r="F9" s="22"/>
      <c r="G9" s="13">
        <v>81.72</v>
      </c>
      <c r="H9" s="22"/>
      <c r="I9" s="13">
        <v>8840.42</v>
      </c>
      <c r="J9" s="13">
        <f t="shared" ref="J9:J69" si="0">I9*1.25</f>
        <v>11050.525</v>
      </c>
      <c r="K9" s="6"/>
    </row>
    <row r="10" spans="1:11" ht="108" x14ac:dyDescent="0.25">
      <c r="A10" s="3">
        <v>3</v>
      </c>
      <c r="B10" s="14" t="s">
        <v>49</v>
      </c>
      <c r="C10" s="15" t="str">
        <f>"3/2015"</f>
        <v>3/2015</v>
      </c>
      <c r="D10" s="15" t="str">
        <f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10" s="16">
        <v>42011</v>
      </c>
      <c r="F10" s="22"/>
      <c r="G10" s="13">
        <v>99.56</v>
      </c>
      <c r="H10" s="22"/>
      <c r="I10" s="13">
        <v>3285.73</v>
      </c>
      <c r="J10" s="13">
        <f t="shared" si="0"/>
        <v>4107.1625000000004</v>
      </c>
      <c r="K10" s="6"/>
    </row>
    <row r="11" spans="1:11" ht="96" x14ac:dyDescent="0.25">
      <c r="A11" s="3">
        <v>4</v>
      </c>
      <c r="B11" s="14" t="s">
        <v>43</v>
      </c>
      <c r="C11" s="15" t="str">
        <f>"MRMS-UR-2015"</f>
        <v>MRMS-UR-2015</v>
      </c>
      <c r="D11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11" s="16">
        <v>42006</v>
      </c>
      <c r="F11" s="22"/>
      <c r="G11" s="13">
        <v>120000</v>
      </c>
      <c r="H11" s="22"/>
      <c r="I11" s="13">
        <v>111181.21</v>
      </c>
      <c r="J11" s="13">
        <f t="shared" si="0"/>
        <v>138976.51250000001</v>
      </c>
      <c r="K11" s="6"/>
    </row>
    <row r="12" spans="1:11" ht="108" x14ac:dyDescent="0.25">
      <c r="A12" s="3">
        <v>5</v>
      </c>
      <c r="B12" s="14" t="s">
        <v>45</v>
      </c>
      <c r="C12" s="15" t="str">
        <f>"4/2013-A/B-U3"</f>
        <v>4/2013-A/B-U3</v>
      </c>
      <c r="D12" s="15" t="str">
        <f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12" s="16">
        <v>42269</v>
      </c>
      <c r="F12" s="22"/>
      <c r="G12" s="13">
        <v>122621.19</v>
      </c>
      <c r="H12" s="22"/>
      <c r="I12" s="13">
        <v>33413.81</v>
      </c>
      <c r="J12" s="13">
        <f t="shared" si="0"/>
        <v>41767.262499999997</v>
      </c>
      <c r="K12" s="6"/>
    </row>
    <row r="13" spans="1:11" ht="108" x14ac:dyDescent="0.25">
      <c r="A13" s="3">
        <v>6</v>
      </c>
      <c r="B13" s="14" t="s">
        <v>45</v>
      </c>
      <c r="C13" s="15" t="str">
        <f>"4/2013-A/B-U2"</f>
        <v>4/2013-A/B-U2</v>
      </c>
      <c r="D13" s="15" t="str">
        <f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13" s="16">
        <v>41883</v>
      </c>
      <c r="F13" s="22"/>
      <c r="G13" s="13">
        <v>176745.26</v>
      </c>
      <c r="H13" s="22"/>
      <c r="I13" s="13">
        <v>69675.64</v>
      </c>
      <c r="J13" s="13">
        <f t="shared" si="0"/>
        <v>87094.55</v>
      </c>
      <c r="K13" s="6"/>
    </row>
    <row r="14" spans="1:11" ht="96" x14ac:dyDescent="0.25">
      <c r="A14" s="3">
        <v>7</v>
      </c>
      <c r="B14" s="14" t="s">
        <v>90</v>
      </c>
      <c r="C14" s="15" t="str">
        <f>"U-22-MV/14"</f>
        <v>U-22-MV/14</v>
      </c>
      <c r="D14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14" s="16">
        <v>42002</v>
      </c>
      <c r="F14" s="22">
        <v>42286</v>
      </c>
      <c r="G14" s="13">
        <v>155634.4</v>
      </c>
      <c r="H14" s="22">
        <v>42286</v>
      </c>
      <c r="I14" s="13">
        <v>110232.21</v>
      </c>
      <c r="J14" s="13">
        <f t="shared" si="0"/>
        <v>137790.26250000001</v>
      </c>
      <c r="K14" s="6"/>
    </row>
    <row r="15" spans="1:11" ht="96" x14ac:dyDescent="0.25">
      <c r="A15" s="3">
        <v>8</v>
      </c>
      <c r="B15" s="14" t="s">
        <v>32</v>
      </c>
      <c r="C15" s="15" t="str">
        <f>"920-07/13-13/41"</f>
        <v>920-07/13-13/41</v>
      </c>
      <c r="D15" s="15" t="str">
        <f>CONCATENATE("1. Zajednica ponuditelja: ",CHAR(10),"    ZVIBOR D.O.O.",CHAR(10),"    FOKUS D.O.O.",CHAR(10),"    ZVIBOR D.O.O.",CHAR(10),"    TIP - ZAGREB D.O.O.",CHAR(10),"    OSJEČKA TRGOVINA PAPIROM D.O.O.")</f>
        <v>1. Zajednica ponuditelja: 
    ZVIBOR D.O.O.
    FOKUS D.O.O.
    ZVIBOR D.O.O.
    TIP - ZAGREB D.O.O.
    OSJEČKA TRGOVINA PAPIROM D.O.O.</v>
      </c>
      <c r="E15" s="16">
        <v>41286</v>
      </c>
      <c r="F15" s="22">
        <v>42286</v>
      </c>
      <c r="G15" s="13">
        <v>167789.89</v>
      </c>
      <c r="H15" s="22">
        <v>42286</v>
      </c>
      <c r="I15" s="13">
        <v>63196.88</v>
      </c>
      <c r="J15" s="13">
        <f t="shared" si="0"/>
        <v>78996.099999999991</v>
      </c>
      <c r="K15" s="6"/>
    </row>
    <row r="16" spans="1:11" ht="108" x14ac:dyDescent="0.25">
      <c r="A16" s="3">
        <v>9</v>
      </c>
      <c r="B16" s="14" t="s">
        <v>47</v>
      </c>
      <c r="C16" s="15" t="str">
        <f>"111/2015/R"</f>
        <v>111/2015/R</v>
      </c>
      <c r="D16" s="15" t="str">
        <f t="shared" ref="D16:D21" si="1"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16" s="16">
        <v>42327</v>
      </c>
      <c r="F16" s="22"/>
      <c r="G16" s="13">
        <v>13870</v>
      </c>
      <c r="H16" s="22"/>
      <c r="I16" s="13">
        <v>13870</v>
      </c>
      <c r="J16" s="13">
        <f t="shared" si="0"/>
        <v>17337.5</v>
      </c>
      <c r="K16" s="6"/>
    </row>
    <row r="17" spans="1:11" ht="108" x14ac:dyDescent="0.25">
      <c r="A17" s="3">
        <v>10</v>
      </c>
      <c r="B17" s="14" t="s">
        <v>47</v>
      </c>
      <c r="C17" s="15" t="str">
        <f>"110/2015/R"</f>
        <v>110/2015/R</v>
      </c>
      <c r="D17" s="15" t="str">
        <f t="shared" si="1"/>
        <v>1. Zajednica ponuditelja: 
    NARODNE NOVINE D.D.
    FOKUS D.O.O.
    ZVIBOR D.O.O.
    TIP - ZAGREB D.O.O.
    OSJEČKA TRGOVINA PAPIROM D.O.O.</v>
      </c>
      <c r="E17" s="16">
        <v>42327</v>
      </c>
      <c r="F17" s="22"/>
      <c r="G17" s="13">
        <v>7626.45</v>
      </c>
      <c r="H17" s="22"/>
      <c r="I17" s="13">
        <v>7626.45</v>
      </c>
      <c r="J17" s="13">
        <f t="shared" si="0"/>
        <v>9533.0625</v>
      </c>
      <c r="K17" s="6"/>
    </row>
    <row r="18" spans="1:11" ht="108" x14ac:dyDescent="0.25">
      <c r="A18" s="3">
        <v>11</v>
      </c>
      <c r="B18" s="14" t="s">
        <v>47</v>
      </c>
      <c r="C18" s="15" t="str">
        <f>"72/2015/R"</f>
        <v>72/2015/R</v>
      </c>
      <c r="D18" s="15" t="str">
        <f t="shared" si="1"/>
        <v>1. Zajednica ponuditelja: 
    NARODNE NOVINE D.D.
    FOKUS D.O.O.
    ZVIBOR D.O.O.
    TIP - ZAGREB D.O.O.
    OSJEČKA TRGOVINA PAPIROM D.O.O.</v>
      </c>
      <c r="E18" s="16">
        <v>42185</v>
      </c>
      <c r="F18" s="22"/>
      <c r="G18" s="13">
        <v>3026.5</v>
      </c>
      <c r="H18" s="22"/>
      <c r="I18" s="13">
        <v>3026.5</v>
      </c>
      <c r="J18" s="13">
        <f t="shared" si="0"/>
        <v>3783.125</v>
      </c>
      <c r="K18" s="6"/>
    </row>
    <row r="19" spans="1:11" ht="108" x14ac:dyDescent="0.25">
      <c r="A19" s="3">
        <v>12</v>
      </c>
      <c r="B19" s="14" t="s">
        <v>47</v>
      </c>
      <c r="C19" s="15" t="str">
        <f>"54/2015/R"</f>
        <v>54/2015/R</v>
      </c>
      <c r="D19" s="15" t="str">
        <f t="shared" si="1"/>
        <v>1. Zajednica ponuditelja: 
    NARODNE NOVINE D.D.
    FOKUS D.O.O.
    ZVIBOR D.O.O.
    TIP - ZAGREB D.O.O.
    OSJEČKA TRGOVINA PAPIROM D.O.O.</v>
      </c>
      <c r="E19" s="16">
        <v>42128</v>
      </c>
      <c r="F19" s="22"/>
      <c r="G19" s="13">
        <v>2885.3</v>
      </c>
      <c r="H19" s="22"/>
      <c r="I19" s="13">
        <v>2885.3</v>
      </c>
      <c r="J19" s="13">
        <f t="shared" si="0"/>
        <v>3606.625</v>
      </c>
      <c r="K19" s="6"/>
    </row>
    <row r="20" spans="1:11" ht="108" x14ac:dyDescent="0.25">
      <c r="A20" s="3">
        <v>13</v>
      </c>
      <c r="B20" s="14" t="s">
        <v>47</v>
      </c>
      <c r="C20" s="15" t="str">
        <f>"47/2015/R"</f>
        <v>47/2015/R</v>
      </c>
      <c r="D20" s="15" t="str">
        <f t="shared" si="1"/>
        <v>1. Zajednica ponuditelja: 
    NARODNE NOVINE D.D.
    FOKUS D.O.O.
    ZVIBOR D.O.O.
    TIP - ZAGREB D.O.O.
    OSJEČKA TRGOVINA PAPIROM D.O.O.</v>
      </c>
      <c r="E20" s="16">
        <v>42083</v>
      </c>
      <c r="F20" s="22"/>
      <c r="G20" s="13">
        <v>1900</v>
      </c>
      <c r="H20" s="22"/>
      <c r="I20" s="13">
        <v>1900</v>
      </c>
      <c r="J20" s="13">
        <f t="shared" si="0"/>
        <v>2375</v>
      </c>
      <c r="K20" s="6"/>
    </row>
    <row r="21" spans="1:11" ht="108" x14ac:dyDescent="0.25">
      <c r="A21" s="3">
        <v>14</v>
      </c>
      <c r="B21" s="14" t="s">
        <v>47</v>
      </c>
      <c r="C21" s="15" t="str">
        <f>"43/2015/R"</f>
        <v>43/2015/R</v>
      </c>
      <c r="D21" s="15" t="str">
        <f t="shared" si="1"/>
        <v>1. Zajednica ponuditelja: 
    NARODNE NOVINE D.D.
    FOKUS D.O.O.
    ZVIBOR D.O.O.
    TIP - ZAGREB D.O.O.
    OSJEČKA TRGOVINA PAPIROM D.O.O.</v>
      </c>
      <c r="E21" s="16">
        <v>42081</v>
      </c>
      <c r="F21" s="22"/>
      <c r="G21" s="13">
        <v>1253.4000000000001</v>
      </c>
      <c r="H21" s="22"/>
      <c r="I21" s="13">
        <v>1253.4000000000001</v>
      </c>
      <c r="J21" s="13">
        <f t="shared" si="0"/>
        <v>1566.75</v>
      </c>
      <c r="K21" s="6"/>
    </row>
    <row r="22" spans="1:11" ht="96" x14ac:dyDescent="0.25">
      <c r="A22" s="3">
        <v>15</v>
      </c>
      <c r="B22" s="14" t="s">
        <v>91</v>
      </c>
      <c r="C22" s="15" t="str">
        <f>"U40/13"</f>
        <v>U40/13</v>
      </c>
      <c r="D22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22" s="16">
        <v>41605</v>
      </c>
      <c r="F22" s="22"/>
      <c r="G22" s="13">
        <v>129988.7</v>
      </c>
      <c r="H22" s="22"/>
      <c r="I22" s="13">
        <v>60851.15</v>
      </c>
      <c r="J22" s="13">
        <f t="shared" si="0"/>
        <v>76063.9375</v>
      </c>
      <c r="K22" s="6"/>
    </row>
    <row r="23" spans="1:11" ht="108" x14ac:dyDescent="0.25">
      <c r="A23" s="3">
        <v>16</v>
      </c>
      <c r="B23" s="14" t="s">
        <v>82</v>
      </c>
      <c r="C23" s="15" t="str">
        <f>"NAR/2015-HS-A/B"</f>
        <v>NAR/2015-HS-A/B</v>
      </c>
      <c r="D23" s="15" t="str">
        <f t="shared" ref="D23:D39" si="2"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23" s="16">
        <v>42005</v>
      </c>
      <c r="F23" s="22">
        <v>42286</v>
      </c>
      <c r="G23" s="13">
        <v>129798.93</v>
      </c>
      <c r="H23" s="22">
        <v>42286</v>
      </c>
      <c r="I23" s="13">
        <v>129798.93</v>
      </c>
      <c r="J23" s="13">
        <f t="shared" si="0"/>
        <v>162248.66249999998</v>
      </c>
      <c r="K23" s="6"/>
    </row>
    <row r="24" spans="1:11" ht="108" x14ac:dyDescent="0.25">
      <c r="A24" s="3">
        <v>17</v>
      </c>
      <c r="B24" s="14" t="s">
        <v>34</v>
      </c>
      <c r="C24" s="15" t="str">
        <f>"NAR/2015-A/B"</f>
        <v>NAR/2015-A/B</v>
      </c>
      <c r="D24" s="15" t="str">
        <f t="shared" si="2"/>
        <v>1. Zajednica ponuditelja: 
    NARODNE NOVINE D.D.
    FOKUS D.O.O.
    ZVIBOR D.O.O.
    TIP - ZAGREB D.O.O.
    OSJEČKA TRGOVINA PAPIROM D.O.O.</v>
      </c>
      <c r="E24" s="16">
        <v>42005</v>
      </c>
      <c r="F24" s="22">
        <v>42286</v>
      </c>
      <c r="G24" s="13">
        <v>109378.74</v>
      </c>
      <c r="H24" s="22">
        <v>42286</v>
      </c>
      <c r="I24" s="13">
        <v>109378.74</v>
      </c>
      <c r="J24" s="13">
        <f t="shared" si="0"/>
        <v>136723.42500000002</v>
      </c>
      <c r="K24" s="6"/>
    </row>
    <row r="25" spans="1:11" ht="108" x14ac:dyDescent="0.25">
      <c r="A25" s="3">
        <v>18</v>
      </c>
      <c r="B25" s="14" t="s">
        <v>37</v>
      </c>
      <c r="C25" s="15" t="str">
        <f>"4/2013-A/B-2015"</f>
        <v>4/2013-A/B-2015</v>
      </c>
      <c r="D25" s="15" t="str">
        <f t="shared" si="2"/>
        <v>1. Zajednica ponuditelja: 
    NARODNE NOVINE D.D.
    FOKUS D.O.O.
    ZVIBOR D.O.O.
    TIP - ZAGREB D.O.O.
    OSJEČKA TRGOVINA PAPIROM D.O.O.</v>
      </c>
      <c r="E25" s="16">
        <v>41930</v>
      </c>
      <c r="F25" s="22"/>
      <c r="G25" s="13">
        <v>113422.65</v>
      </c>
      <c r="H25" s="22"/>
      <c r="I25" s="13">
        <v>39682.400000000001</v>
      </c>
      <c r="J25" s="13">
        <f t="shared" si="0"/>
        <v>49603</v>
      </c>
      <c r="K25" s="6"/>
    </row>
    <row r="26" spans="1:11" ht="108" x14ac:dyDescent="0.25">
      <c r="A26" s="3">
        <v>19</v>
      </c>
      <c r="B26" s="14" t="s">
        <v>29</v>
      </c>
      <c r="C26" s="15" t="str">
        <f>"NAR.4/2013-A/B"</f>
        <v>NAR.4/2013-A/B</v>
      </c>
      <c r="D26" s="15" t="str">
        <f t="shared" si="2"/>
        <v>1. Zajednica ponuditelja: 
    NARODNE NOVINE D.D.
    FOKUS D.O.O.
    ZVIBOR D.O.O.
    TIP - ZAGREB D.O.O.
    OSJEČKA TRGOVINA PAPIROM D.O.O.</v>
      </c>
      <c r="E26" s="16">
        <v>41950</v>
      </c>
      <c r="F26" s="22"/>
      <c r="G26" s="13">
        <v>191633.56</v>
      </c>
      <c r="H26" s="22"/>
      <c r="I26" s="13">
        <v>191633.56</v>
      </c>
      <c r="J26" s="13">
        <f t="shared" si="0"/>
        <v>239541.95</v>
      </c>
      <c r="K26" s="6"/>
    </row>
    <row r="27" spans="1:11" ht="108" x14ac:dyDescent="0.25">
      <c r="A27" s="3">
        <v>20</v>
      </c>
      <c r="B27" s="14" t="s">
        <v>42</v>
      </c>
      <c r="C27" s="15" t="str">
        <f>"SNUG-202-15-0001"</f>
        <v>SNUG-202-15-0001</v>
      </c>
      <c r="D27" s="15" t="str">
        <f t="shared" si="2"/>
        <v>1. Zajednica ponuditelja: 
    NARODNE NOVINE D.D.
    FOKUS D.O.O.
    ZVIBOR D.O.O.
    TIP - ZAGREB D.O.O.
    OSJEČKA TRGOVINA PAPIROM D.O.O.</v>
      </c>
      <c r="E27" s="16">
        <v>42037</v>
      </c>
      <c r="F27" s="22"/>
      <c r="G27" s="13">
        <v>95040.36</v>
      </c>
      <c r="H27" s="22"/>
      <c r="I27" s="13">
        <v>94893.38</v>
      </c>
      <c r="J27" s="13">
        <f t="shared" si="0"/>
        <v>118616.72500000001</v>
      </c>
      <c r="K27" s="6"/>
    </row>
    <row r="28" spans="1:11" ht="108" x14ac:dyDescent="0.25">
      <c r="A28" s="3">
        <v>21</v>
      </c>
      <c r="B28" s="14" t="s">
        <v>42</v>
      </c>
      <c r="C28" s="15" t="str">
        <f>"NND-202-15-163"</f>
        <v>NND-202-15-163</v>
      </c>
      <c r="D28" s="15" t="str">
        <f t="shared" si="2"/>
        <v>1. Zajednica ponuditelja: 
    NARODNE NOVINE D.D.
    FOKUS D.O.O.
    ZVIBOR D.O.O.
    TIP - ZAGREB D.O.O.
    OSJEČKA TRGOVINA PAPIROM D.O.O.</v>
      </c>
      <c r="E28" s="16">
        <v>42195</v>
      </c>
      <c r="F28" s="22"/>
      <c r="G28" s="13">
        <v>495</v>
      </c>
      <c r="H28" s="22"/>
      <c r="I28" s="13">
        <v>495</v>
      </c>
      <c r="J28" s="13">
        <f t="shared" si="0"/>
        <v>618.75</v>
      </c>
      <c r="K28" s="6"/>
    </row>
    <row r="29" spans="1:11" ht="108" x14ac:dyDescent="0.25">
      <c r="A29" s="3">
        <v>22</v>
      </c>
      <c r="B29" s="14" t="s">
        <v>42</v>
      </c>
      <c r="C29" s="15" t="str">
        <f>"NND-202-15-131"</f>
        <v>NND-202-15-131</v>
      </c>
      <c r="D29" s="15" t="str">
        <f t="shared" si="2"/>
        <v>1. Zajednica ponuditelja: 
    NARODNE NOVINE D.D.
    FOKUS D.O.O.
    ZVIBOR D.O.O.
    TIP - ZAGREB D.O.O.
    OSJEČKA TRGOVINA PAPIROM D.O.O.</v>
      </c>
      <c r="E29" s="16">
        <v>42059</v>
      </c>
      <c r="F29" s="22"/>
      <c r="G29" s="13">
        <v>20240</v>
      </c>
      <c r="H29" s="22"/>
      <c r="I29" s="13">
        <v>20240</v>
      </c>
      <c r="J29" s="13">
        <f t="shared" si="0"/>
        <v>25300</v>
      </c>
      <c r="K29" s="6"/>
    </row>
    <row r="30" spans="1:11" ht="108" x14ac:dyDescent="0.25">
      <c r="A30" s="3">
        <v>23</v>
      </c>
      <c r="B30" s="14" t="s">
        <v>49</v>
      </c>
      <c r="C30" s="15" t="str">
        <f>"849/2015"</f>
        <v>849/2015</v>
      </c>
      <c r="D30" s="15" t="str">
        <f t="shared" si="2"/>
        <v>1. Zajednica ponuditelja: 
    NARODNE NOVINE D.D.
    FOKUS D.O.O.
    ZVIBOR D.O.O.
    TIP - ZAGREB D.O.O.
    OSJEČKA TRGOVINA PAPIROM D.O.O.</v>
      </c>
      <c r="E30" s="16">
        <v>42251</v>
      </c>
      <c r="F30" s="22"/>
      <c r="G30" s="13">
        <v>480.06</v>
      </c>
      <c r="H30" s="22"/>
      <c r="I30" s="13">
        <v>10244.09</v>
      </c>
      <c r="J30" s="13">
        <f t="shared" si="0"/>
        <v>12805.112499999999</v>
      </c>
      <c r="K30" s="6"/>
    </row>
    <row r="31" spans="1:11" ht="108" x14ac:dyDescent="0.25">
      <c r="A31" s="3">
        <v>24</v>
      </c>
      <c r="B31" s="14" t="s">
        <v>49</v>
      </c>
      <c r="C31" s="15" t="str">
        <f>"846/2015"</f>
        <v>846/2015</v>
      </c>
      <c r="D31" s="15" t="str">
        <f t="shared" si="2"/>
        <v>1. Zajednica ponuditelja: 
    NARODNE NOVINE D.D.
    FOKUS D.O.O.
    ZVIBOR D.O.O.
    TIP - ZAGREB D.O.O.
    OSJEČKA TRGOVINA PAPIROM D.O.O.</v>
      </c>
      <c r="E31" s="16">
        <v>42249</v>
      </c>
      <c r="F31" s="22"/>
      <c r="G31" s="13">
        <v>795</v>
      </c>
      <c r="H31" s="22"/>
      <c r="I31" s="13">
        <v>795</v>
      </c>
      <c r="J31" s="13">
        <f t="shared" si="0"/>
        <v>993.75</v>
      </c>
      <c r="K31" s="6"/>
    </row>
    <row r="32" spans="1:11" ht="108" x14ac:dyDescent="0.25">
      <c r="A32" s="3">
        <v>25</v>
      </c>
      <c r="B32" s="14" t="s">
        <v>49</v>
      </c>
      <c r="C32" s="15" t="str">
        <f>"639/2015"</f>
        <v>639/2015</v>
      </c>
      <c r="D32" s="15" t="str">
        <f t="shared" si="2"/>
        <v>1. Zajednica ponuditelja: 
    NARODNE NOVINE D.D.
    FOKUS D.O.O.
    ZVIBOR D.O.O.
    TIP - ZAGREB D.O.O.
    OSJEČKA TRGOVINA PAPIROM D.O.O.</v>
      </c>
      <c r="E32" s="16">
        <v>42172</v>
      </c>
      <c r="F32" s="22"/>
      <c r="G32" s="13">
        <v>1281.47</v>
      </c>
      <c r="H32" s="22"/>
      <c r="I32" s="13">
        <v>7643.78</v>
      </c>
      <c r="J32" s="13">
        <f t="shared" si="0"/>
        <v>9554.7250000000004</v>
      </c>
      <c r="K32" s="6"/>
    </row>
    <row r="33" spans="1:11" ht="108" x14ac:dyDescent="0.25">
      <c r="A33" s="3">
        <v>26</v>
      </c>
      <c r="B33" s="14" t="s">
        <v>49</v>
      </c>
      <c r="C33" s="15" t="str">
        <f>"619/2015"</f>
        <v>619/2015</v>
      </c>
      <c r="D33" s="15" t="str">
        <f t="shared" si="2"/>
        <v>1. Zajednica ponuditelja: 
    NARODNE NOVINE D.D.
    FOKUS D.O.O.
    ZVIBOR D.O.O.
    TIP - ZAGREB D.O.O.
    OSJEČKA TRGOVINA PAPIROM D.O.O.</v>
      </c>
      <c r="E33" s="16">
        <v>42164</v>
      </c>
      <c r="F33" s="22"/>
      <c r="G33" s="13">
        <v>1112.74</v>
      </c>
      <c r="H33" s="22"/>
      <c r="I33" s="13">
        <v>1112.74</v>
      </c>
      <c r="J33" s="13">
        <f t="shared" si="0"/>
        <v>1390.925</v>
      </c>
      <c r="K33" s="6"/>
    </row>
    <row r="34" spans="1:11" ht="108" x14ac:dyDescent="0.25">
      <c r="A34" s="3">
        <v>27</v>
      </c>
      <c r="B34" s="14" t="s">
        <v>49</v>
      </c>
      <c r="C34" s="15" t="str">
        <f>"607/2015"</f>
        <v>607/2015</v>
      </c>
      <c r="D34" s="15" t="str">
        <f t="shared" si="2"/>
        <v>1. Zajednica ponuditelja: 
    NARODNE NOVINE D.D.
    FOKUS D.O.O.
    ZVIBOR D.O.O.
    TIP - ZAGREB D.O.O.
    OSJEČKA TRGOVINA PAPIROM D.O.O.</v>
      </c>
      <c r="E34" s="16">
        <v>42163</v>
      </c>
      <c r="F34" s="22"/>
      <c r="G34" s="13">
        <v>40</v>
      </c>
      <c r="H34" s="22"/>
      <c r="I34" s="13">
        <v>40</v>
      </c>
      <c r="J34" s="13">
        <f t="shared" si="0"/>
        <v>50</v>
      </c>
      <c r="K34" s="6"/>
    </row>
    <row r="35" spans="1:11" ht="108" x14ac:dyDescent="0.25">
      <c r="A35" s="3">
        <v>28</v>
      </c>
      <c r="B35" s="14" t="s">
        <v>49</v>
      </c>
      <c r="C35" s="15" t="str">
        <f>"277/2015"</f>
        <v>277/2015</v>
      </c>
      <c r="D35" s="15" t="str">
        <f t="shared" si="2"/>
        <v>1. Zajednica ponuditelja: 
    NARODNE NOVINE D.D.
    FOKUS D.O.O.
    ZVIBOR D.O.O.
    TIP - ZAGREB D.O.O.
    OSJEČKA TRGOVINA PAPIROM D.O.O.</v>
      </c>
      <c r="E35" s="16">
        <v>42081</v>
      </c>
      <c r="F35" s="22"/>
      <c r="G35" s="13">
        <v>1590</v>
      </c>
      <c r="H35" s="22"/>
      <c r="I35" s="13">
        <v>1245.08</v>
      </c>
      <c r="J35" s="13">
        <f t="shared" si="0"/>
        <v>1556.35</v>
      </c>
      <c r="K35" s="6"/>
    </row>
    <row r="36" spans="1:11" ht="108" x14ac:dyDescent="0.25">
      <c r="A36" s="3">
        <v>29</v>
      </c>
      <c r="B36" s="14" t="s">
        <v>47</v>
      </c>
      <c r="C36" s="15" t="str">
        <f>"06/2015/R"</f>
        <v>06/2015/R</v>
      </c>
      <c r="D36" s="15" t="str">
        <f t="shared" si="2"/>
        <v>1. Zajednica ponuditelja: 
    NARODNE NOVINE D.D.
    FOKUS D.O.O.
    ZVIBOR D.O.O.
    TIP - ZAGREB D.O.O.
    OSJEČKA TRGOVINA PAPIROM D.O.O.</v>
      </c>
      <c r="E36" s="16">
        <v>42025</v>
      </c>
      <c r="F36" s="22"/>
      <c r="G36" s="13">
        <v>1533</v>
      </c>
      <c r="H36" s="22"/>
      <c r="I36" s="13">
        <v>1915.25</v>
      </c>
      <c r="J36" s="13">
        <f t="shared" si="0"/>
        <v>2394.0625</v>
      </c>
      <c r="K36" s="6"/>
    </row>
    <row r="37" spans="1:11" ht="108" x14ac:dyDescent="0.25">
      <c r="A37" s="3">
        <v>30</v>
      </c>
      <c r="B37" s="14" t="s">
        <v>51</v>
      </c>
      <c r="C37" s="15" t="str">
        <f>"BRII-042013-A/B"</f>
        <v>BRII-042013-A/B</v>
      </c>
      <c r="D37" s="15" t="str">
        <f t="shared" si="2"/>
        <v>1. Zajednica ponuditelja: 
    NARODNE NOVINE D.D.
    FOKUS D.O.O.
    ZVIBOR D.O.O.
    TIP - ZAGREB D.O.O.
    OSJEČKA TRGOVINA PAPIROM D.O.O.</v>
      </c>
      <c r="E37" s="16">
        <v>42096</v>
      </c>
      <c r="F37" s="22">
        <v>42286</v>
      </c>
      <c r="G37" s="13">
        <v>239704.93</v>
      </c>
      <c r="H37" s="22">
        <v>42286</v>
      </c>
      <c r="I37" s="13">
        <v>239704.93</v>
      </c>
      <c r="J37" s="13">
        <f t="shared" si="0"/>
        <v>299631.16249999998</v>
      </c>
      <c r="K37" s="6"/>
    </row>
    <row r="38" spans="1:11" ht="108" x14ac:dyDescent="0.25">
      <c r="A38" s="3">
        <v>31</v>
      </c>
      <c r="B38" s="14" t="s">
        <v>53</v>
      </c>
      <c r="C38" s="15" t="str">
        <f>"4/2013-A/B-35"</f>
        <v>4/2013-A/B-35</v>
      </c>
      <c r="D38" s="15" t="str">
        <f t="shared" si="2"/>
        <v>1. Zajednica ponuditelja: 
    NARODNE NOVINE D.D.
    FOKUS D.O.O.
    ZVIBOR D.O.O.
    TIP - ZAGREB D.O.O.
    OSJEČKA TRGOVINA PAPIROM D.O.O.</v>
      </c>
      <c r="E38" s="16">
        <v>42066</v>
      </c>
      <c r="F38" s="22">
        <v>42286</v>
      </c>
      <c r="G38" s="13">
        <v>144000</v>
      </c>
      <c r="H38" s="22">
        <v>42286</v>
      </c>
      <c r="I38" s="13">
        <v>78228.710000000006</v>
      </c>
      <c r="J38" s="13">
        <f t="shared" si="0"/>
        <v>97785.887500000012</v>
      </c>
      <c r="K38" s="6"/>
    </row>
    <row r="39" spans="1:11" ht="108" x14ac:dyDescent="0.25">
      <c r="A39" s="3">
        <v>32</v>
      </c>
      <c r="B39" s="14" t="s">
        <v>50</v>
      </c>
      <c r="C39" s="15" t="str">
        <f>"70-2015"</f>
        <v>70-2015</v>
      </c>
      <c r="D39" s="15" t="str">
        <f t="shared" si="2"/>
        <v>1. Zajednica ponuditelja: 
    NARODNE NOVINE D.D.
    FOKUS D.O.O.
    ZVIBOR D.O.O.
    TIP - ZAGREB D.O.O.
    OSJEČKA TRGOVINA PAPIROM D.O.O.</v>
      </c>
      <c r="E39" s="16">
        <v>42025</v>
      </c>
      <c r="F39" s="22">
        <v>42284</v>
      </c>
      <c r="G39" s="13">
        <v>11630.1</v>
      </c>
      <c r="H39" s="22">
        <v>42284</v>
      </c>
      <c r="I39" s="13">
        <v>11630.1</v>
      </c>
      <c r="J39" s="13">
        <f t="shared" si="0"/>
        <v>14537.625</v>
      </c>
      <c r="K39" s="6"/>
    </row>
    <row r="40" spans="1:11" ht="96" x14ac:dyDescent="0.25">
      <c r="A40" s="3">
        <v>33</v>
      </c>
      <c r="B40" s="14" t="s">
        <v>54</v>
      </c>
      <c r="C40" s="15" t="str">
        <f>"4/2013-A/B-32"</f>
        <v>4/2013-A/B-32</v>
      </c>
      <c r="D40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40" s="16">
        <v>42006</v>
      </c>
      <c r="F40" s="22">
        <v>42286</v>
      </c>
      <c r="G40" s="13">
        <v>211254.49</v>
      </c>
      <c r="H40" s="22">
        <v>42286</v>
      </c>
      <c r="I40" s="13">
        <v>187074.9</v>
      </c>
      <c r="J40" s="13">
        <f t="shared" si="0"/>
        <v>233843.625</v>
      </c>
      <c r="K40" s="6"/>
    </row>
    <row r="41" spans="1:11" ht="108" x14ac:dyDescent="0.25">
      <c r="A41" s="3">
        <v>34</v>
      </c>
      <c r="B41" s="14" t="s">
        <v>55</v>
      </c>
      <c r="C41" s="15" t="str">
        <f>"O-15/"</f>
        <v>O-15/</v>
      </c>
      <c r="D41" s="15" t="str">
        <f t="shared" ref="D41:D61" si="3"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41" s="16">
        <v>42005</v>
      </c>
      <c r="F41" s="22">
        <v>42286</v>
      </c>
      <c r="G41" s="13">
        <v>190800.99</v>
      </c>
      <c r="H41" s="22">
        <v>42286</v>
      </c>
      <c r="I41" s="13">
        <v>190800.99</v>
      </c>
      <c r="J41" s="13">
        <f t="shared" si="0"/>
        <v>238501.23749999999</v>
      </c>
      <c r="K41" s="6"/>
    </row>
    <row r="42" spans="1:11" ht="108" x14ac:dyDescent="0.25">
      <c r="A42" s="3">
        <v>35</v>
      </c>
      <c r="B42" s="14" t="s">
        <v>52</v>
      </c>
      <c r="C42" s="15" t="str">
        <f>"4/2013-DUSJN"</f>
        <v>4/2013-DUSJN</v>
      </c>
      <c r="D42" s="15" t="str">
        <f t="shared" si="3"/>
        <v>1. Zajednica ponuditelja: 
    NARODNE NOVINE D.D.
    FOKUS D.O.O.
    ZVIBOR D.O.O.
    TIP - ZAGREB D.O.O.
    OSJEČKA TRGOVINA PAPIROM D.O.O.</v>
      </c>
      <c r="E42" s="16">
        <v>42369</v>
      </c>
      <c r="F42" s="22">
        <v>42369</v>
      </c>
      <c r="G42" s="13">
        <v>5864.51</v>
      </c>
      <c r="H42" s="22">
        <v>42369</v>
      </c>
      <c r="I42" s="13">
        <v>5864.51</v>
      </c>
      <c r="J42" s="13">
        <f t="shared" si="0"/>
        <v>7330.6375000000007</v>
      </c>
      <c r="K42" s="6"/>
    </row>
    <row r="43" spans="1:11" ht="108" x14ac:dyDescent="0.25">
      <c r="A43" s="3">
        <v>36</v>
      </c>
      <c r="B43" s="14" t="s">
        <v>33</v>
      </c>
      <c r="C43" s="15" t="str">
        <f>"4/2013-A/B-31"</f>
        <v>4/2013-A/B-31</v>
      </c>
      <c r="D43" s="15" t="str">
        <f t="shared" si="3"/>
        <v>1. Zajednica ponuditelja: 
    NARODNE NOVINE D.D.
    FOKUS D.O.O.
    ZVIBOR D.O.O.
    TIP - ZAGREB D.O.O.
    OSJEČKA TRGOVINA PAPIROM D.O.O.</v>
      </c>
      <c r="E43" s="16">
        <v>41976</v>
      </c>
      <c r="F43" s="22">
        <v>42341</v>
      </c>
      <c r="G43" s="13">
        <v>574276.28</v>
      </c>
      <c r="H43" s="22">
        <v>42341</v>
      </c>
      <c r="I43" s="13">
        <v>442790.98</v>
      </c>
      <c r="J43" s="13">
        <f t="shared" si="0"/>
        <v>553488.72499999998</v>
      </c>
      <c r="K43" s="6"/>
    </row>
    <row r="44" spans="1:11" ht="108" x14ac:dyDescent="0.25">
      <c r="A44" s="3">
        <v>37</v>
      </c>
      <c r="B44" s="14" t="s">
        <v>44</v>
      </c>
      <c r="C44" s="15" t="str">
        <f>"4/2013-A/B-30"</f>
        <v>4/2013-A/B-30</v>
      </c>
      <c r="D44" s="15" t="str">
        <f t="shared" si="3"/>
        <v>1. Zajednica ponuditelja: 
    NARODNE NOVINE D.D.
    FOKUS D.O.O.
    ZVIBOR D.O.O.
    TIP - ZAGREB D.O.O.
    OSJEČKA TRGOVINA PAPIROM D.O.O.</v>
      </c>
      <c r="E44" s="16">
        <v>41971</v>
      </c>
      <c r="F44" s="22">
        <v>42336</v>
      </c>
      <c r="G44" s="13">
        <v>2655935.2999999998</v>
      </c>
      <c r="H44" s="22">
        <v>42336</v>
      </c>
      <c r="I44" s="13">
        <v>2373863.87</v>
      </c>
      <c r="J44" s="13">
        <f t="shared" si="0"/>
        <v>2967329.8375000004</v>
      </c>
      <c r="K44" s="6"/>
    </row>
    <row r="45" spans="1:11" ht="108" x14ac:dyDescent="0.25">
      <c r="A45" s="3">
        <v>38</v>
      </c>
      <c r="B45" s="14" t="s">
        <v>59</v>
      </c>
      <c r="C45" s="15" t="str">
        <f>"02-A-A-0367/14-21"</f>
        <v>02-A-A-0367/14-21</v>
      </c>
      <c r="D45" s="15" t="str">
        <f t="shared" si="3"/>
        <v>1. Zajednica ponuditelja: 
    NARODNE NOVINE D.D.
    FOKUS D.O.O.
    ZVIBOR D.O.O.
    TIP - ZAGREB D.O.O.
    OSJEČKA TRGOVINA PAPIROM D.O.O.</v>
      </c>
      <c r="E45" s="16">
        <v>41962</v>
      </c>
      <c r="F45" s="22">
        <v>42286</v>
      </c>
      <c r="G45" s="13">
        <v>110128.27</v>
      </c>
      <c r="H45" s="22">
        <v>42286</v>
      </c>
      <c r="I45" s="13">
        <v>51949.24</v>
      </c>
      <c r="J45" s="13">
        <f t="shared" si="0"/>
        <v>64936.549999999996</v>
      </c>
      <c r="K45" s="6"/>
    </row>
    <row r="46" spans="1:11" ht="108" x14ac:dyDescent="0.25">
      <c r="A46" s="3">
        <v>39</v>
      </c>
      <c r="B46" s="14" t="s">
        <v>27</v>
      </c>
      <c r="C46" s="15" t="str">
        <f>"4/2013-A/B-26"</f>
        <v>4/2013-A/B-26</v>
      </c>
      <c r="D46" s="15" t="str">
        <f t="shared" si="3"/>
        <v>1. Zajednica ponuditelja: 
    NARODNE NOVINE D.D.
    FOKUS D.O.O.
    ZVIBOR D.O.O.
    TIP - ZAGREB D.O.O.
    OSJEČKA TRGOVINA PAPIROM D.O.O.</v>
      </c>
      <c r="E46" s="16">
        <v>41961</v>
      </c>
      <c r="F46" s="22">
        <v>42286</v>
      </c>
      <c r="G46" s="13">
        <v>2373382.2000000002</v>
      </c>
      <c r="H46" s="22">
        <v>42286</v>
      </c>
      <c r="I46" s="13">
        <v>1811939.64</v>
      </c>
      <c r="J46" s="13">
        <f t="shared" si="0"/>
        <v>2264924.5499999998</v>
      </c>
      <c r="K46" s="6"/>
    </row>
    <row r="47" spans="1:11" ht="108" x14ac:dyDescent="0.25">
      <c r="A47" s="3">
        <v>40</v>
      </c>
      <c r="B47" s="14" t="s">
        <v>27</v>
      </c>
      <c r="C47" s="15" t="str">
        <f>"4/2013-A/B-27"</f>
        <v>4/2013-A/B-27</v>
      </c>
      <c r="D47" s="15" t="str">
        <f t="shared" si="3"/>
        <v>1. Zajednica ponuditelja: 
    NARODNE NOVINE D.D.
    FOKUS D.O.O.
    ZVIBOR D.O.O.
    TIP - ZAGREB D.O.O.
    OSJEČKA TRGOVINA PAPIROM D.O.O.</v>
      </c>
      <c r="E47" s="16">
        <v>41961</v>
      </c>
      <c r="F47" s="22">
        <v>42286</v>
      </c>
      <c r="G47" s="13">
        <v>1400316.45</v>
      </c>
      <c r="H47" s="22">
        <v>42286</v>
      </c>
      <c r="I47" s="13">
        <v>1061915.1000000001</v>
      </c>
      <c r="J47" s="13">
        <f t="shared" si="0"/>
        <v>1327393.875</v>
      </c>
      <c r="K47" s="6"/>
    </row>
    <row r="48" spans="1:11" ht="108" x14ac:dyDescent="0.25">
      <c r="A48" s="3">
        <v>41</v>
      </c>
      <c r="B48" s="14" t="s">
        <v>27</v>
      </c>
      <c r="C48" s="15" t="str">
        <f>"4/2013-A/B-29"</f>
        <v>4/2013-A/B-29</v>
      </c>
      <c r="D48" s="15" t="str">
        <f t="shared" si="3"/>
        <v>1. Zajednica ponuditelja: 
    NARODNE NOVINE D.D.
    FOKUS D.O.O.
    ZVIBOR D.O.O.
    TIP - ZAGREB D.O.O.
    OSJEČKA TRGOVINA PAPIROM D.O.O.</v>
      </c>
      <c r="E48" s="16">
        <v>41961</v>
      </c>
      <c r="F48" s="22">
        <v>42286</v>
      </c>
      <c r="G48" s="13">
        <v>388076.2</v>
      </c>
      <c r="H48" s="22">
        <v>42286</v>
      </c>
      <c r="I48" s="13">
        <v>345131.36</v>
      </c>
      <c r="J48" s="13">
        <f t="shared" si="0"/>
        <v>431414.19999999995</v>
      </c>
      <c r="K48" s="6"/>
    </row>
    <row r="49" spans="1:11" ht="108" x14ac:dyDescent="0.25">
      <c r="A49" s="3">
        <v>42</v>
      </c>
      <c r="B49" s="14" t="s">
        <v>27</v>
      </c>
      <c r="C49" s="15" t="str">
        <f>"4/2013-A/B-28"</f>
        <v>4/2013-A/B-28</v>
      </c>
      <c r="D49" s="15" t="str">
        <f t="shared" si="3"/>
        <v>1. Zajednica ponuditelja: 
    NARODNE NOVINE D.D.
    FOKUS D.O.O.
    ZVIBOR D.O.O.
    TIP - ZAGREB D.O.O.
    OSJEČKA TRGOVINA PAPIROM D.O.O.</v>
      </c>
      <c r="E49" s="16">
        <v>41961</v>
      </c>
      <c r="F49" s="22">
        <v>42286</v>
      </c>
      <c r="G49" s="13">
        <v>205497.95</v>
      </c>
      <c r="H49" s="22">
        <v>42286</v>
      </c>
      <c r="I49" s="13">
        <v>172869.9</v>
      </c>
      <c r="J49" s="13">
        <f t="shared" si="0"/>
        <v>216087.375</v>
      </c>
      <c r="K49" s="6"/>
    </row>
    <row r="50" spans="1:11" ht="108" x14ac:dyDescent="0.25">
      <c r="A50" s="3">
        <v>43</v>
      </c>
      <c r="B50" s="14" t="s">
        <v>41</v>
      </c>
      <c r="C50" s="15" t="str">
        <f>"9-DUSJN/14"</f>
        <v>9-DUSJN/14</v>
      </c>
      <c r="D50" s="15" t="str">
        <f t="shared" si="3"/>
        <v>1. Zajednica ponuditelja: 
    NARODNE NOVINE D.D.
    FOKUS D.O.O.
    ZVIBOR D.O.O.
    TIP - ZAGREB D.O.O.
    OSJEČKA TRGOVINA PAPIROM D.O.O.</v>
      </c>
      <c r="E50" s="16">
        <v>41957</v>
      </c>
      <c r="F50" s="22">
        <v>42322</v>
      </c>
      <c r="G50" s="13">
        <v>296838.13</v>
      </c>
      <c r="H50" s="22">
        <v>42322</v>
      </c>
      <c r="I50" s="13">
        <v>210390.33</v>
      </c>
      <c r="J50" s="13">
        <f t="shared" si="0"/>
        <v>262987.91249999998</v>
      </c>
      <c r="K50" s="6"/>
    </row>
    <row r="51" spans="1:11" ht="108" x14ac:dyDescent="0.25">
      <c r="A51" s="3">
        <v>44</v>
      </c>
      <c r="B51" s="14" t="s">
        <v>26</v>
      </c>
      <c r="C51" s="15" t="str">
        <f>"40/2014"</f>
        <v>40/2014</v>
      </c>
      <c r="D51" s="15" t="str">
        <f t="shared" si="3"/>
        <v>1. Zajednica ponuditelja: 
    NARODNE NOVINE D.D.
    FOKUS D.O.O.
    ZVIBOR D.O.O.
    TIP - ZAGREB D.O.O.
    OSJEČKA TRGOVINA PAPIROM D.O.O.</v>
      </c>
      <c r="E51" s="16">
        <v>41945</v>
      </c>
      <c r="F51" s="22">
        <v>42286</v>
      </c>
      <c r="G51" s="13">
        <v>78172.3</v>
      </c>
      <c r="H51" s="22">
        <v>42286</v>
      </c>
      <c r="I51" s="13">
        <v>58218.47</v>
      </c>
      <c r="J51" s="13">
        <f t="shared" si="0"/>
        <v>72773.087499999994</v>
      </c>
      <c r="K51" s="6"/>
    </row>
    <row r="52" spans="1:11" ht="108" x14ac:dyDescent="0.25">
      <c r="A52" s="3">
        <v>45</v>
      </c>
      <c r="B52" s="14" t="s">
        <v>61</v>
      </c>
      <c r="C52" s="15" t="str">
        <f>"4/2013"</f>
        <v>4/2013</v>
      </c>
      <c r="D52" s="15" t="str">
        <f t="shared" si="3"/>
        <v>1. Zajednica ponuditelja: 
    NARODNE NOVINE D.D.
    FOKUS D.O.O.
    ZVIBOR D.O.O.
    TIP - ZAGREB D.O.O.
    OSJEČKA TRGOVINA PAPIROM D.O.O.</v>
      </c>
      <c r="E52" s="16">
        <v>41932</v>
      </c>
      <c r="F52" s="22">
        <v>42286</v>
      </c>
      <c r="G52" s="13">
        <v>31076.35</v>
      </c>
      <c r="H52" s="22">
        <v>42286</v>
      </c>
      <c r="I52" s="13">
        <v>31076.35</v>
      </c>
      <c r="J52" s="13">
        <f t="shared" si="0"/>
        <v>38845.4375</v>
      </c>
      <c r="K52" s="6"/>
    </row>
    <row r="53" spans="1:11" ht="108" x14ac:dyDescent="0.25">
      <c r="A53" s="3">
        <v>46</v>
      </c>
      <c r="B53" s="14" t="s">
        <v>36</v>
      </c>
      <c r="C53" s="15" t="str">
        <f>"4/2013-A/B-24"</f>
        <v>4/2013-A/B-24</v>
      </c>
      <c r="D53" s="15" t="str">
        <f t="shared" si="3"/>
        <v>1. Zajednica ponuditelja: 
    NARODNE NOVINE D.D.
    FOKUS D.O.O.
    ZVIBOR D.O.O.
    TIP - ZAGREB D.O.O.
    OSJEČKA TRGOVINA PAPIROM D.O.O.</v>
      </c>
      <c r="E53" s="16">
        <v>41912</v>
      </c>
      <c r="F53" s="22">
        <v>42286</v>
      </c>
      <c r="G53" s="13">
        <v>205528.02</v>
      </c>
      <c r="H53" s="22">
        <v>42286</v>
      </c>
      <c r="I53" s="13">
        <v>187104.12</v>
      </c>
      <c r="J53" s="13">
        <f t="shared" si="0"/>
        <v>233880.15</v>
      </c>
      <c r="K53" s="6"/>
    </row>
    <row r="54" spans="1:11" ht="108" x14ac:dyDescent="0.25">
      <c r="A54" s="3">
        <v>47</v>
      </c>
      <c r="B54" s="14" t="s">
        <v>42</v>
      </c>
      <c r="C54" s="15" t="str">
        <f>"SNUG-202-15-0039"</f>
        <v>SNUG-202-15-0039</v>
      </c>
      <c r="D54" s="15" t="str">
        <f t="shared" si="3"/>
        <v>1. Zajednica ponuditelja: 
    NARODNE NOVINE D.D.
    FOKUS D.O.O.
    ZVIBOR D.O.O.
    TIP - ZAGREB D.O.O.
    OSJEČKA TRGOVINA PAPIROM D.O.O.</v>
      </c>
      <c r="E54" s="16">
        <v>41717</v>
      </c>
      <c r="F54" s="22">
        <v>42267</v>
      </c>
      <c r="G54" s="13">
        <v>491430.51</v>
      </c>
      <c r="H54" s="22">
        <v>42267</v>
      </c>
      <c r="I54" s="13">
        <v>482491.66</v>
      </c>
      <c r="J54" s="13">
        <f t="shared" si="0"/>
        <v>603114.57499999995</v>
      </c>
      <c r="K54" s="6"/>
    </row>
    <row r="55" spans="1:11" ht="108" x14ac:dyDescent="0.25">
      <c r="A55" s="3">
        <v>48</v>
      </c>
      <c r="B55" s="14" t="s">
        <v>42</v>
      </c>
      <c r="C55" s="15" t="str">
        <f>"SNUG-202-15-0002"</f>
        <v>SNUG-202-15-0002</v>
      </c>
      <c r="D55" s="15" t="str">
        <f t="shared" si="3"/>
        <v>1. Zajednica ponuditelja: 
    NARODNE NOVINE D.D.
    FOKUS D.O.O.
    ZVIBOR D.O.O.
    TIP - ZAGREB D.O.O.
    OSJEČKA TRGOVINA PAPIROM D.O.O.</v>
      </c>
      <c r="E55" s="16">
        <v>41690</v>
      </c>
      <c r="F55" s="22">
        <v>42096</v>
      </c>
      <c r="G55" s="13">
        <v>435099.74</v>
      </c>
      <c r="H55" s="22">
        <v>42096</v>
      </c>
      <c r="I55" s="13">
        <v>437011.67</v>
      </c>
      <c r="J55" s="13">
        <f t="shared" si="0"/>
        <v>546264.58750000002</v>
      </c>
      <c r="K55" s="6"/>
    </row>
    <row r="56" spans="1:11" ht="108" x14ac:dyDescent="0.25">
      <c r="A56" s="3">
        <v>49</v>
      </c>
      <c r="B56" s="14" t="s">
        <v>30</v>
      </c>
      <c r="C56" s="15" t="str">
        <f>"510-A-A-0141/14-90"</f>
        <v>510-A-A-0141/14-90</v>
      </c>
      <c r="D56" s="15" t="str">
        <f t="shared" si="3"/>
        <v>1. Zajednica ponuditelja: 
    NARODNE NOVINE D.D.
    FOKUS D.O.O.
    ZVIBOR D.O.O.
    TIP - ZAGREB D.O.O.
    OSJEČKA TRGOVINA PAPIROM D.O.O.</v>
      </c>
      <c r="E56" s="16">
        <v>41653</v>
      </c>
      <c r="F56" s="22">
        <v>42347</v>
      </c>
      <c r="G56" s="13">
        <v>459488.8</v>
      </c>
      <c r="H56" s="22">
        <v>42347</v>
      </c>
      <c r="I56" s="13">
        <v>97803</v>
      </c>
      <c r="J56" s="13">
        <f t="shared" si="0"/>
        <v>122253.75</v>
      </c>
      <c r="K56" s="6"/>
    </row>
    <row r="57" spans="1:11" ht="108" x14ac:dyDescent="0.25">
      <c r="A57" s="3">
        <v>50</v>
      </c>
      <c r="B57" s="14" t="s">
        <v>58</v>
      </c>
      <c r="C57" s="15" t="str">
        <f>"4/2013-A/B-34"</f>
        <v>4/2013-A/B-34</v>
      </c>
      <c r="D57" s="15" t="str">
        <f t="shared" si="3"/>
        <v>1. Zajednica ponuditelja: 
    NARODNE NOVINE D.D.
    FOKUS D.O.O.
    ZVIBOR D.O.O.
    TIP - ZAGREB D.O.O.
    OSJEČKA TRGOVINA PAPIROM D.O.O.</v>
      </c>
      <c r="E57" s="16">
        <v>41647</v>
      </c>
      <c r="F57" s="22">
        <v>42286</v>
      </c>
      <c r="G57" s="13">
        <v>42879.95</v>
      </c>
      <c r="H57" s="22">
        <v>42286</v>
      </c>
      <c r="I57" s="13">
        <v>22002.68</v>
      </c>
      <c r="J57" s="13">
        <f t="shared" si="0"/>
        <v>27503.35</v>
      </c>
      <c r="K57" s="6"/>
    </row>
    <row r="58" spans="1:11" ht="108" x14ac:dyDescent="0.25">
      <c r="A58" s="3">
        <v>51</v>
      </c>
      <c r="B58" s="14" t="s">
        <v>39</v>
      </c>
      <c r="C58" s="15" t="str">
        <f>"BROJ4/14"</f>
        <v>BROJ4/14</v>
      </c>
      <c r="D58" s="15" t="str">
        <f t="shared" si="3"/>
        <v>1. Zajednica ponuditelja: 
    NARODNE NOVINE D.D.
    FOKUS D.O.O.
    ZVIBOR D.O.O.
    TIP - ZAGREB D.O.O.
    OSJEČKA TRGOVINA PAPIROM D.O.O.</v>
      </c>
      <c r="E58" s="16">
        <v>41642</v>
      </c>
      <c r="F58" s="22">
        <v>42285</v>
      </c>
      <c r="G58" s="13">
        <v>475658.16</v>
      </c>
      <c r="H58" s="22">
        <v>42285</v>
      </c>
      <c r="I58" s="13">
        <v>325626.3</v>
      </c>
      <c r="J58" s="13">
        <f t="shared" si="0"/>
        <v>407032.875</v>
      </c>
      <c r="K58" s="6"/>
    </row>
    <row r="59" spans="1:11" ht="108" x14ac:dyDescent="0.25">
      <c r="A59" s="3">
        <v>52</v>
      </c>
      <c r="B59" s="14" t="s">
        <v>42</v>
      </c>
      <c r="C59" s="15" t="str">
        <f>"SNUG-202-15-0014"</f>
        <v>SNUG-202-15-0014</v>
      </c>
      <c r="D59" s="15" t="str">
        <f t="shared" si="3"/>
        <v>1. Zajednica ponuditelja: 
    NARODNE NOVINE D.D.
    FOKUS D.O.O.
    ZVIBOR D.O.O.
    TIP - ZAGREB D.O.O.
    OSJEČKA TRGOVINA PAPIROM D.O.O.</v>
      </c>
      <c r="E59" s="16">
        <v>42122</v>
      </c>
      <c r="F59" s="22"/>
      <c r="G59" s="13">
        <v>81381.149999999994</v>
      </c>
      <c r="H59" s="22"/>
      <c r="I59" s="13">
        <v>81381.17</v>
      </c>
      <c r="J59" s="13">
        <f t="shared" si="0"/>
        <v>101726.46249999999</v>
      </c>
      <c r="K59" s="6"/>
    </row>
    <row r="60" spans="1:11" ht="108" x14ac:dyDescent="0.25">
      <c r="A60" s="3">
        <v>53</v>
      </c>
      <c r="B60" s="14" t="s">
        <v>42</v>
      </c>
      <c r="C60" s="15" t="str">
        <f>"SNUG-202-15-0040"</f>
        <v>SNUG-202-15-0040</v>
      </c>
      <c r="D60" s="15" t="str">
        <f t="shared" si="3"/>
        <v>1. Zajednica ponuditelja: 
    NARODNE NOVINE D.D.
    FOKUS D.O.O.
    ZVIBOR D.O.O.
    TIP - ZAGREB D.O.O.
    OSJEČKA TRGOVINA PAPIROM D.O.O.</v>
      </c>
      <c r="E60" s="16">
        <v>41618</v>
      </c>
      <c r="F60" s="22">
        <v>42267</v>
      </c>
      <c r="G60" s="13">
        <v>82649.64</v>
      </c>
      <c r="H60" s="22">
        <v>42267</v>
      </c>
      <c r="I60" s="13">
        <v>82484.06</v>
      </c>
      <c r="J60" s="13">
        <f t="shared" si="0"/>
        <v>103105.075</v>
      </c>
      <c r="K60" s="6"/>
    </row>
    <row r="61" spans="1:11" ht="108" x14ac:dyDescent="0.25">
      <c r="A61" s="3">
        <v>54</v>
      </c>
      <c r="B61" s="14" t="s">
        <v>42</v>
      </c>
      <c r="C61" s="15" t="str">
        <f>"SNUG-202-15-0051"</f>
        <v>SNUG-202-15-0051</v>
      </c>
      <c r="D61" s="15" t="str">
        <f t="shared" si="3"/>
        <v>1. Zajednica ponuditelja: 
    NARODNE NOVINE D.D.
    FOKUS D.O.O.
    ZVIBOR D.O.O.
    TIP - ZAGREB D.O.O.
    OSJEČKA TRGOVINA PAPIROM D.O.O.</v>
      </c>
      <c r="E61" s="16">
        <v>41610</v>
      </c>
      <c r="F61" s="22">
        <v>42343</v>
      </c>
      <c r="G61" s="13">
        <v>522612.61</v>
      </c>
      <c r="H61" s="22">
        <v>42343</v>
      </c>
      <c r="I61" s="13">
        <v>476646.06</v>
      </c>
      <c r="J61" s="13">
        <f t="shared" si="0"/>
        <v>595807.57499999995</v>
      </c>
      <c r="K61" s="6"/>
    </row>
    <row r="62" spans="1:11" ht="96" x14ac:dyDescent="0.25">
      <c r="A62" s="3">
        <v>55</v>
      </c>
      <c r="B62" s="14" t="s">
        <v>28</v>
      </c>
      <c r="C62" s="15" t="str">
        <f>"MGPU 4/2013-A/B-2"</f>
        <v>MGPU 4/2013-A/B-2</v>
      </c>
      <c r="D62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62" s="16">
        <v>41563</v>
      </c>
      <c r="F62" s="22">
        <v>42286</v>
      </c>
      <c r="G62" s="13">
        <v>340178</v>
      </c>
      <c r="H62" s="22">
        <v>42286</v>
      </c>
      <c r="I62" s="13">
        <v>139435.93</v>
      </c>
      <c r="J62" s="13">
        <f t="shared" si="0"/>
        <v>174294.91249999998</v>
      </c>
      <c r="K62" s="6"/>
    </row>
    <row r="63" spans="1:11" ht="96" x14ac:dyDescent="0.25">
      <c r="A63" s="3">
        <v>56</v>
      </c>
      <c r="B63" s="14" t="s">
        <v>28</v>
      </c>
      <c r="C63" s="15" t="str">
        <f>"MGPU 4/2013-A/B"</f>
        <v>MGPU 4/2013-A/B</v>
      </c>
      <c r="D63" s="15" t="str">
        <f>CONCATENATE("1. Zajednica ponuditelja: ",CHAR(10),"    TIP - ZAGREB D.O.O.",CHAR(10),"    FOKUS D.O.O.",CHAR(10),"    ZVIBOR D.O.O.",CHAR(10),"    TIP - ZAGREB D.O.O.",CHAR(10),"    OSJEČKA TRGOVINA PAPIROM D.O.O.")</f>
        <v>1. Zajednica ponuditelja: 
    TIP - ZAGREB D.O.O.
    FOKUS D.O.O.
    ZVIBOR D.O.O.
    TIP - ZAGREB D.O.O.
    OSJEČKA TRGOVINA PAPIROM D.O.O.</v>
      </c>
      <c r="E63" s="16">
        <v>41563</v>
      </c>
      <c r="F63" s="22">
        <v>42286</v>
      </c>
      <c r="G63" s="13">
        <v>208315.3</v>
      </c>
      <c r="H63" s="22">
        <v>42286</v>
      </c>
      <c r="I63" s="13">
        <v>115174.03</v>
      </c>
      <c r="J63" s="13">
        <f t="shared" si="0"/>
        <v>143967.53750000001</v>
      </c>
      <c r="K63" s="6"/>
    </row>
    <row r="64" spans="1:11" ht="108" x14ac:dyDescent="0.25">
      <c r="A64" s="3">
        <v>57</v>
      </c>
      <c r="B64" s="14" t="s">
        <v>42</v>
      </c>
      <c r="C64" s="15" t="str">
        <f>"SNUG-202-15-0052"</f>
        <v>SNUG-202-15-0052</v>
      </c>
      <c r="D64" s="15" t="str">
        <f t="shared" ref="D64:D69" si="4">CONCATENATE("1. Zajednica ponuditelja: ",CHAR(10),"    NARODNE NOVINE D.D.",CHAR(10),"    FOKUS D.O.O.",CHAR(10),"    ZVIBOR D.O.O.",CHAR(10),"    TIP - ZAGREB D.O.O.",CHAR(10),"    OSJEČKA TRGOVINA PAPIROM D.O.O.")</f>
        <v>1. Zajednica ponuditelja: 
    NARODNE NOVINE D.D.
    FOKUS D.O.O.
    ZVIBOR D.O.O.
    TIP - ZAGREB D.O.O.
    OSJEČKA TRGOVINA PAPIROM D.O.O.</v>
      </c>
      <c r="E64" s="16">
        <v>42276</v>
      </c>
      <c r="F64" s="22"/>
      <c r="G64" s="13">
        <v>137900.37</v>
      </c>
      <c r="H64" s="22"/>
      <c r="I64" s="13">
        <v>137900.37</v>
      </c>
      <c r="J64" s="13">
        <f t="shared" si="0"/>
        <v>172375.46249999999</v>
      </c>
      <c r="K64" s="6"/>
    </row>
    <row r="65" spans="1:11" ht="108" x14ac:dyDescent="0.25">
      <c r="A65" s="3">
        <v>58</v>
      </c>
      <c r="B65" s="14" t="s">
        <v>91</v>
      </c>
      <c r="C65" s="15" t="str">
        <f>"4/2013-A/B-19"</f>
        <v>4/2013-A/B-19</v>
      </c>
      <c r="D65" s="15" t="str">
        <f t="shared" si="4"/>
        <v>1. Zajednica ponuditelja: 
    NARODNE NOVINE D.D.
    FOKUS D.O.O.
    ZVIBOR D.O.O.
    TIP - ZAGREB D.O.O.
    OSJEČKA TRGOVINA PAPIROM D.O.O.</v>
      </c>
      <c r="E65" s="16">
        <v>41605</v>
      </c>
      <c r="F65" s="22">
        <v>42286</v>
      </c>
      <c r="G65" s="13">
        <v>129988.7</v>
      </c>
      <c r="H65" s="22">
        <v>42286</v>
      </c>
      <c r="I65" s="13">
        <v>41576</v>
      </c>
      <c r="J65" s="13">
        <f t="shared" si="0"/>
        <v>51970</v>
      </c>
      <c r="K65" s="6"/>
    </row>
    <row r="66" spans="1:11" ht="108" x14ac:dyDescent="0.25">
      <c r="A66" s="3">
        <v>59</v>
      </c>
      <c r="B66" s="14" t="s">
        <v>25</v>
      </c>
      <c r="C66" s="15" t="str">
        <f>"4/2013-A/B-18"</f>
        <v>4/2013-A/B-18</v>
      </c>
      <c r="D66" s="15" t="str">
        <f t="shared" si="4"/>
        <v>1. Zajednica ponuditelja: 
    NARODNE NOVINE D.D.
    FOKUS D.O.O.
    ZVIBOR D.O.O.
    TIP - ZAGREB D.O.O.
    OSJEČKA TRGOVINA PAPIROM D.O.O.</v>
      </c>
      <c r="E66" s="16">
        <v>41586</v>
      </c>
      <c r="F66" s="22">
        <v>42294</v>
      </c>
      <c r="G66" s="13">
        <v>215513.48</v>
      </c>
      <c r="H66" s="22">
        <v>42294</v>
      </c>
      <c r="I66" s="13">
        <v>116619.92</v>
      </c>
      <c r="J66" s="13">
        <f t="shared" si="0"/>
        <v>145774.9</v>
      </c>
      <c r="K66" s="6"/>
    </row>
    <row r="67" spans="1:11" ht="108" x14ac:dyDescent="0.25">
      <c r="A67" s="3">
        <v>60</v>
      </c>
      <c r="B67" s="14" t="s">
        <v>48</v>
      </c>
      <c r="C67" s="15" t="str">
        <f>"4/2013-A/B-4"</f>
        <v>4/2013-A/B-4</v>
      </c>
      <c r="D67" s="15" t="str">
        <f t="shared" si="4"/>
        <v>1. Zajednica ponuditelja: 
    NARODNE NOVINE D.D.
    FOKUS D.O.O.
    ZVIBOR D.O.O.
    TIP - ZAGREB D.O.O.
    OSJEČKA TRGOVINA PAPIROM D.O.O.</v>
      </c>
      <c r="E67" s="16">
        <v>41583</v>
      </c>
      <c r="F67" s="22">
        <v>42286</v>
      </c>
      <c r="G67" s="13">
        <v>85745.7</v>
      </c>
      <c r="H67" s="22">
        <v>42286</v>
      </c>
      <c r="I67" s="13">
        <v>28380.67</v>
      </c>
      <c r="J67" s="13">
        <f t="shared" si="0"/>
        <v>35475.837499999994</v>
      </c>
      <c r="K67" s="6"/>
    </row>
    <row r="68" spans="1:11" ht="108" x14ac:dyDescent="0.25">
      <c r="A68" s="3">
        <v>61</v>
      </c>
      <c r="B68" s="14" t="s">
        <v>58</v>
      </c>
      <c r="C68" s="15" t="str">
        <f>"4/2013-A/B-33"</f>
        <v>4/2013-A/B-33</v>
      </c>
      <c r="D68" s="15" t="str">
        <f t="shared" si="4"/>
        <v>1. Zajednica ponuditelja: 
    NARODNE NOVINE D.D.
    FOKUS D.O.O.
    ZVIBOR D.O.O.
    TIP - ZAGREB D.O.O.
    OSJEČKA TRGOVINA PAPIROM D.O.O.</v>
      </c>
      <c r="E68" s="16">
        <v>41578</v>
      </c>
      <c r="F68" s="22">
        <v>42286</v>
      </c>
      <c r="G68" s="13">
        <v>85842</v>
      </c>
      <c r="H68" s="22">
        <v>42286</v>
      </c>
      <c r="I68" s="13">
        <v>80642.100000000006</v>
      </c>
      <c r="J68" s="13">
        <f t="shared" si="0"/>
        <v>100802.625</v>
      </c>
      <c r="K68" s="6"/>
    </row>
    <row r="69" spans="1:11" ht="108" x14ac:dyDescent="0.25">
      <c r="A69" s="3">
        <v>62</v>
      </c>
      <c r="B69" s="14" t="s">
        <v>42</v>
      </c>
      <c r="C69" s="15" t="str">
        <f>"SNUG-202-15-0015"</f>
        <v>SNUG-202-15-0015</v>
      </c>
      <c r="D69" s="15" t="str">
        <f t="shared" si="4"/>
        <v>1. Zajednica ponuditelja: 
    NARODNE NOVINE D.D.
    FOKUS D.O.O.
    ZVIBOR D.O.O.
    TIP - ZAGREB D.O.O.
    OSJEČKA TRGOVINA PAPIROM D.O.O.</v>
      </c>
      <c r="E69" s="16">
        <v>41536</v>
      </c>
      <c r="F69" s="22">
        <v>42183</v>
      </c>
      <c r="G69" s="13">
        <v>437500.41</v>
      </c>
      <c r="H69" s="22">
        <v>42183</v>
      </c>
      <c r="I69" s="13">
        <v>425739.26</v>
      </c>
      <c r="J69" s="13">
        <f t="shared" si="0"/>
        <v>532174.07499999995</v>
      </c>
      <c r="K69" s="6"/>
    </row>
    <row r="70" spans="1:11" ht="7.5" customHeight="1" x14ac:dyDescent="0.25"/>
    <row r="71" spans="1:11" ht="42" customHeight="1" x14ac:dyDescent="0.25">
      <c r="A71" s="1" t="s">
        <v>0</v>
      </c>
      <c r="B71" s="2" t="s">
        <v>1</v>
      </c>
      <c r="C71" s="2" t="s">
        <v>6</v>
      </c>
      <c r="D71" s="2" t="s">
        <v>2</v>
      </c>
      <c r="E71" s="2" t="s">
        <v>3</v>
      </c>
      <c r="F71" s="2" t="s">
        <v>7</v>
      </c>
      <c r="G71" s="2" t="s">
        <v>8</v>
      </c>
      <c r="H71" s="2" t="s">
        <v>4</v>
      </c>
      <c r="I71" s="2" t="s">
        <v>5</v>
      </c>
    </row>
    <row r="72" spans="1:11" x14ac:dyDescent="0.25">
      <c r="A72" s="3">
        <v>1</v>
      </c>
      <c r="B72" s="6" t="s">
        <v>661</v>
      </c>
      <c r="C72" s="3" t="s">
        <v>138</v>
      </c>
      <c r="D72" s="3" t="s">
        <v>686</v>
      </c>
      <c r="E72" s="3" t="s">
        <v>24</v>
      </c>
      <c r="F72" s="21">
        <v>41415</v>
      </c>
      <c r="G72" s="3" t="s">
        <v>116</v>
      </c>
      <c r="H72" s="7">
        <v>31000000</v>
      </c>
      <c r="I72" s="7">
        <v>36177984.289999999</v>
      </c>
    </row>
    <row r="73" spans="1:11" x14ac:dyDescent="0.25">
      <c r="A73" s="42" t="s">
        <v>706</v>
      </c>
      <c r="B73" s="43"/>
      <c r="C73" s="43"/>
      <c r="D73" s="43"/>
      <c r="E73" s="43"/>
      <c r="F73" s="43"/>
      <c r="G73" s="43"/>
      <c r="H73" s="44"/>
      <c r="I73" s="7">
        <v>6253687.2699999996</v>
      </c>
    </row>
    <row r="74" spans="1:11" ht="7.5" customHeight="1" x14ac:dyDescent="0.25"/>
    <row r="75" spans="1:11" x14ac:dyDescent="0.25">
      <c r="A75" s="46" t="s">
        <v>20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63.75" customHeight="1" x14ac:dyDescent="0.25">
      <c r="A76" s="4" t="s">
        <v>0</v>
      </c>
      <c r="B76" s="5" t="s">
        <v>10</v>
      </c>
      <c r="C76" s="5" t="s">
        <v>9</v>
      </c>
      <c r="D76" s="5" t="s">
        <v>13</v>
      </c>
      <c r="E76" s="5" t="s">
        <v>12</v>
      </c>
      <c r="F76" s="5" t="s">
        <v>11</v>
      </c>
      <c r="G76" s="5" t="s">
        <v>18</v>
      </c>
      <c r="H76" s="5" t="s">
        <v>14</v>
      </c>
      <c r="I76" s="5" t="s">
        <v>15</v>
      </c>
      <c r="J76" s="5" t="s">
        <v>16</v>
      </c>
      <c r="K76" s="5" t="s">
        <v>17</v>
      </c>
    </row>
    <row r="77" spans="1:11" ht="36" x14ac:dyDescent="0.25">
      <c r="A77" s="3">
        <v>1</v>
      </c>
      <c r="B77" s="14" t="s">
        <v>34</v>
      </c>
      <c r="C77" s="15" t="str">
        <f>"NAR/2015-A-1"</f>
        <v>NAR/2015-A-1</v>
      </c>
      <c r="D77" s="15" t="str">
        <f>CONCATENATE("ZIT D.O.O.")</f>
        <v>ZIT D.O.O.</v>
      </c>
      <c r="E77" s="16">
        <v>42339</v>
      </c>
      <c r="F77" s="22">
        <v>42511</v>
      </c>
      <c r="G77" s="13">
        <v>33660</v>
      </c>
      <c r="H77" s="22">
        <v>42511</v>
      </c>
      <c r="I77" s="13">
        <v>33660</v>
      </c>
      <c r="J77" s="13">
        <f>I77*1.25</f>
        <v>42075</v>
      </c>
      <c r="K77" s="6"/>
    </row>
    <row r="78" spans="1:11" x14ac:dyDescent="0.25">
      <c r="A78" s="3">
        <v>2</v>
      </c>
      <c r="B78" s="14" t="s">
        <v>82</v>
      </c>
      <c r="C78" s="15" t="str">
        <f>"NAR/2015-HS-A"</f>
        <v>NAR/2015-HS-A</v>
      </c>
      <c r="D78" s="15" t="str">
        <f>CONCATENATE("DINARID D.O.O.")</f>
        <v>DINARID D.O.O.</v>
      </c>
      <c r="E78" s="16">
        <v>42005</v>
      </c>
      <c r="F78" s="22">
        <v>42369</v>
      </c>
      <c r="G78" s="13">
        <v>32950</v>
      </c>
      <c r="H78" s="22">
        <v>42369</v>
      </c>
      <c r="I78" s="13">
        <v>32950</v>
      </c>
      <c r="J78" s="13">
        <f t="shared" ref="J78:J122" si="5">I78*1.25</f>
        <v>41187.5</v>
      </c>
      <c r="K78" s="6"/>
    </row>
    <row r="79" spans="1:11" ht="24" x14ac:dyDescent="0.25">
      <c r="A79" s="3">
        <v>3</v>
      </c>
      <c r="B79" s="14" t="s">
        <v>37</v>
      </c>
      <c r="C79" s="15" t="str">
        <f>"5/2012-A-70"</f>
        <v>5/2012-A-70</v>
      </c>
      <c r="D79" s="15" t="str">
        <f>CONCATENATE("DINARID D.O.O.")</f>
        <v>DINARID D.O.O.</v>
      </c>
      <c r="E79" s="16">
        <v>41971</v>
      </c>
      <c r="F79" s="22">
        <v>42335</v>
      </c>
      <c r="G79" s="13">
        <v>71625</v>
      </c>
      <c r="H79" s="22">
        <v>42335</v>
      </c>
      <c r="I79" s="13">
        <v>26350</v>
      </c>
      <c r="J79" s="13">
        <f t="shared" si="5"/>
        <v>32937.5</v>
      </c>
      <c r="K79" s="6"/>
    </row>
    <row r="80" spans="1:11" ht="24" x14ac:dyDescent="0.25">
      <c r="A80" s="3">
        <v>4</v>
      </c>
      <c r="B80" s="14" t="s">
        <v>28</v>
      </c>
      <c r="C80" s="15" t="str">
        <f>"MGPU 5/2012-A"</f>
        <v>MGPU 5/2012-A</v>
      </c>
      <c r="D80" s="15" t="str">
        <f>CONCATENATE("DINARID D.O.O.")</f>
        <v>DINARID D.O.O.</v>
      </c>
      <c r="E80" s="16">
        <v>42006</v>
      </c>
      <c r="F80" s="22">
        <v>42369</v>
      </c>
      <c r="G80" s="13">
        <v>312569</v>
      </c>
      <c r="H80" s="22">
        <v>42369</v>
      </c>
      <c r="I80" s="13">
        <v>156618</v>
      </c>
      <c r="J80" s="13">
        <f t="shared" si="5"/>
        <v>195772.5</v>
      </c>
      <c r="K80" s="6"/>
    </row>
    <row r="81" spans="1:11" ht="24" x14ac:dyDescent="0.25">
      <c r="A81" s="3">
        <v>5</v>
      </c>
      <c r="B81" s="14" t="s">
        <v>31</v>
      </c>
      <c r="C81" s="15" t="str">
        <f>"NAR2015-LR1"</f>
        <v>NAR2015-LR1</v>
      </c>
      <c r="D81" s="15" t="str">
        <f>CONCATENATE("DINARID D.O.O.")</f>
        <v>DINARID D.O.O.</v>
      </c>
      <c r="E81" s="16">
        <v>42369</v>
      </c>
      <c r="F81" s="22"/>
      <c r="G81" s="13">
        <v>55101</v>
      </c>
      <c r="H81" s="22"/>
      <c r="I81" s="13">
        <v>55101</v>
      </c>
      <c r="J81" s="13">
        <f t="shared" si="5"/>
        <v>68876.25</v>
      </c>
      <c r="K81" s="6"/>
    </row>
    <row r="82" spans="1:11" x14ac:dyDescent="0.25">
      <c r="A82" s="3">
        <v>6</v>
      </c>
      <c r="B82" s="14" t="s">
        <v>42</v>
      </c>
      <c r="C82" s="15" t="str">
        <f>"NND-202-15-159"</f>
        <v>NND-202-15-159</v>
      </c>
      <c r="D82" s="15" t="str">
        <f>CONCATENATE("DINARID D.O.O.")</f>
        <v>DINARID D.O.O.</v>
      </c>
      <c r="E82" s="16">
        <v>42193</v>
      </c>
      <c r="F82" s="22"/>
      <c r="G82" s="13">
        <v>1302</v>
      </c>
      <c r="H82" s="22"/>
      <c r="I82" s="13">
        <v>1302</v>
      </c>
      <c r="J82" s="13">
        <f t="shared" si="5"/>
        <v>1627.5</v>
      </c>
      <c r="K82" s="6"/>
    </row>
    <row r="83" spans="1:11" x14ac:dyDescent="0.25">
      <c r="A83" s="3">
        <v>7</v>
      </c>
      <c r="B83" s="14" t="s">
        <v>49</v>
      </c>
      <c r="C83" s="15" t="str">
        <f>"362/2015"</f>
        <v>362/2015</v>
      </c>
      <c r="D83" s="15" t="str">
        <f>CONCATENATE("ZIT D.O.O.")</f>
        <v>ZIT D.O.O.</v>
      </c>
      <c r="E83" s="16">
        <v>42103</v>
      </c>
      <c r="F83" s="22"/>
      <c r="G83" s="13">
        <v>1584</v>
      </c>
      <c r="H83" s="22"/>
      <c r="I83" s="13">
        <v>37199</v>
      </c>
      <c r="J83" s="13">
        <f t="shared" si="5"/>
        <v>46498.75</v>
      </c>
      <c r="K83" s="6"/>
    </row>
    <row r="84" spans="1:11" x14ac:dyDescent="0.25">
      <c r="A84" s="3">
        <v>8</v>
      </c>
      <c r="B84" s="14" t="s">
        <v>49</v>
      </c>
      <c r="C84" s="15" t="str">
        <f>"341/2015"</f>
        <v>341/2015</v>
      </c>
      <c r="D84" s="15" t="str">
        <f>CONCATENATE("ZIT D.O.O.")</f>
        <v>ZIT D.O.O.</v>
      </c>
      <c r="E84" s="16">
        <v>42096</v>
      </c>
      <c r="F84" s="22"/>
      <c r="G84" s="13">
        <v>360</v>
      </c>
      <c r="H84" s="22"/>
      <c r="I84" s="13">
        <v>360</v>
      </c>
      <c r="J84" s="13">
        <f t="shared" si="5"/>
        <v>450</v>
      </c>
      <c r="K84" s="6"/>
    </row>
    <row r="85" spans="1:11" x14ac:dyDescent="0.25">
      <c r="A85" s="3">
        <v>9</v>
      </c>
      <c r="B85" s="14" t="s">
        <v>49</v>
      </c>
      <c r="C85" s="15" t="str">
        <f>"314/2015"</f>
        <v>314/2015</v>
      </c>
      <c r="D85" s="15" t="str">
        <f>CONCATENATE("ZIT D.O.O.")</f>
        <v>ZIT D.O.O.</v>
      </c>
      <c r="E85" s="16">
        <v>42090</v>
      </c>
      <c r="F85" s="22"/>
      <c r="G85" s="13">
        <v>1080</v>
      </c>
      <c r="H85" s="22"/>
      <c r="I85" s="13">
        <v>1080</v>
      </c>
      <c r="J85" s="13">
        <f t="shared" si="5"/>
        <v>1350</v>
      </c>
      <c r="K85" s="6"/>
    </row>
    <row r="86" spans="1:11" x14ac:dyDescent="0.25">
      <c r="A86" s="3">
        <v>10</v>
      </c>
      <c r="B86" s="14" t="s">
        <v>49</v>
      </c>
      <c r="C86" s="15" t="str">
        <f>"297/2015"</f>
        <v>297/2015</v>
      </c>
      <c r="D86" s="15" t="str">
        <f>CONCATENATE("ZIT D.O.O.")</f>
        <v>ZIT D.O.O.</v>
      </c>
      <c r="E86" s="16">
        <v>42086</v>
      </c>
      <c r="F86" s="22"/>
      <c r="G86" s="13">
        <v>1508</v>
      </c>
      <c r="H86" s="22"/>
      <c r="I86" s="13">
        <v>1508</v>
      </c>
      <c r="J86" s="13">
        <f t="shared" si="5"/>
        <v>1885</v>
      </c>
      <c r="K86" s="6"/>
    </row>
    <row r="87" spans="1:11" x14ac:dyDescent="0.25">
      <c r="A87" s="3">
        <v>11</v>
      </c>
      <c r="B87" s="14" t="s">
        <v>90</v>
      </c>
      <c r="C87" s="15" t="str">
        <f>"U-8-MV/15"</f>
        <v>U-8-MV/15</v>
      </c>
      <c r="D87" s="15" t="str">
        <f>CONCATENATE("DINARID D.O.O.")</f>
        <v>DINARID D.O.O.</v>
      </c>
      <c r="E87" s="16">
        <v>42283</v>
      </c>
      <c r="F87" s="22">
        <v>42511</v>
      </c>
      <c r="G87" s="13">
        <v>149527</v>
      </c>
      <c r="H87" s="22">
        <v>42511</v>
      </c>
      <c r="I87" s="13">
        <v>14009.6</v>
      </c>
      <c r="J87" s="13">
        <f t="shared" si="5"/>
        <v>17512</v>
      </c>
      <c r="K87" s="6"/>
    </row>
    <row r="88" spans="1:11" x14ac:dyDescent="0.25">
      <c r="A88" s="3">
        <v>12</v>
      </c>
      <c r="B88" s="14" t="s">
        <v>90</v>
      </c>
      <c r="C88" s="15" t="str">
        <f>"U-12-MV/14"</f>
        <v>U-12-MV/14</v>
      </c>
      <c r="D88" s="15" t="str">
        <f>CONCATENATE("DINARID D.O.O.")</f>
        <v>DINARID D.O.O.</v>
      </c>
      <c r="E88" s="16">
        <v>41898</v>
      </c>
      <c r="F88" s="22">
        <v>42263</v>
      </c>
      <c r="G88" s="13">
        <v>179977</v>
      </c>
      <c r="H88" s="22">
        <v>42263</v>
      </c>
      <c r="I88" s="13">
        <v>78977.600000000006</v>
      </c>
      <c r="J88" s="13">
        <f t="shared" si="5"/>
        <v>98722</v>
      </c>
      <c r="K88" s="6"/>
    </row>
    <row r="89" spans="1:11" ht="24" x14ac:dyDescent="0.25">
      <c r="A89" s="3">
        <v>13</v>
      </c>
      <c r="B89" s="14" t="s">
        <v>45</v>
      </c>
      <c r="C89" s="15" t="str">
        <f>"5/2012-A-U3"</f>
        <v>5/2012-A-U3</v>
      </c>
      <c r="D89" s="15" t="str">
        <f>CONCATENATE("DINARID D.O.O.")</f>
        <v>DINARID D.O.O.</v>
      </c>
      <c r="E89" s="16">
        <v>42209</v>
      </c>
      <c r="F89" s="22"/>
      <c r="G89" s="13">
        <v>43225</v>
      </c>
      <c r="H89" s="22"/>
      <c r="I89" s="13">
        <v>15847</v>
      </c>
      <c r="J89" s="13">
        <f t="shared" si="5"/>
        <v>19808.75</v>
      </c>
      <c r="K89" s="6"/>
    </row>
    <row r="90" spans="1:11" ht="24" x14ac:dyDescent="0.25">
      <c r="A90" s="3">
        <v>14</v>
      </c>
      <c r="B90" s="14" t="s">
        <v>32</v>
      </c>
      <c r="C90" s="15" t="str">
        <f>"920-07/13-13/30"</f>
        <v>920-07/13-13/30</v>
      </c>
      <c r="D90" s="15" t="str">
        <f>CONCATENATE("DINARID D.O.O.")</f>
        <v>DINARID D.O.O.</v>
      </c>
      <c r="E90" s="16">
        <v>41565</v>
      </c>
      <c r="F90" s="22"/>
      <c r="G90" s="13">
        <v>1078215</v>
      </c>
      <c r="H90" s="22"/>
      <c r="I90" s="13">
        <v>91194</v>
      </c>
      <c r="J90" s="13">
        <f t="shared" si="5"/>
        <v>113992.5</v>
      </c>
      <c r="K90" s="6"/>
    </row>
    <row r="91" spans="1:11" ht="24" x14ac:dyDescent="0.25">
      <c r="A91" s="3">
        <v>15</v>
      </c>
      <c r="B91" s="14" t="s">
        <v>45</v>
      </c>
      <c r="C91" s="15" t="str">
        <f>"5/2012-A-U2"</f>
        <v>5/2012-A-U2</v>
      </c>
      <c r="D91" s="15" t="str">
        <f>CONCATENATE("DINARID D.O.O.")</f>
        <v>DINARID D.O.O.</v>
      </c>
      <c r="E91" s="16">
        <v>41926</v>
      </c>
      <c r="F91" s="22"/>
      <c r="G91" s="13">
        <v>15992</v>
      </c>
      <c r="H91" s="22"/>
      <c r="I91" s="13">
        <v>15730</v>
      </c>
      <c r="J91" s="13">
        <f t="shared" si="5"/>
        <v>19662.5</v>
      </c>
      <c r="K91" s="6"/>
    </row>
    <row r="92" spans="1:11" ht="24" x14ac:dyDescent="0.25">
      <c r="A92" s="3">
        <v>16</v>
      </c>
      <c r="B92" s="14" t="s">
        <v>47</v>
      </c>
      <c r="C92" s="15" t="str">
        <f>"77/2015/R"</f>
        <v>77/2015/R</v>
      </c>
      <c r="D92" s="15" t="str">
        <f>CONCATENATE("KING ICT D.O.O.")</f>
        <v>KING ICT D.O.O.</v>
      </c>
      <c r="E92" s="16">
        <v>42206</v>
      </c>
      <c r="F92" s="22"/>
      <c r="G92" s="13">
        <v>1408.16</v>
      </c>
      <c r="H92" s="22"/>
      <c r="I92" s="13">
        <v>1408.16</v>
      </c>
      <c r="J92" s="13">
        <f t="shared" si="5"/>
        <v>1760.2</v>
      </c>
      <c r="K92" s="6"/>
    </row>
    <row r="93" spans="1:11" ht="24" x14ac:dyDescent="0.25">
      <c r="A93" s="3">
        <v>17</v>
      </c>
      <c r="B93" s="14" t="s">
        <v>47</v>
      </c>
      <c r="C93" s="15" t="str">
        <f>"35/2015/R"</f>
        <v>35/2015/R</v>
      </c>
      <c r="D93" s="15" t="str">
        <f>CONCATENATE("KING ICT D.O.O.")</f>
        <v>KING ICT D.O.O.</v>
      </c>
      <c r="E93" s="16">
        <v>42074</v>
      </c>
      <c r="F93" s="22"/>
      <c r="G93" s="13">
        <v>1408.16</v>
      </c>
      <c r="H93" s="22"/>
      <c r="I93" s="13">
        <v>1408.16</v>
      </c>
      <c r="J93" s="13">
        <f t="shared" si="5"/>
        <v>1760.2</v>
      </c>
      <c r="K93" s="6"/>
    </row>
    <row r="94" spans="1:11" ht="24" x14ac:dyDescent="0.25">
      <c r="A94" s="3">
        <v>18</v>
      </c>
      <c r="B94" s="14" t="s">
        <v>37</v>
      </c>
      <c r="C94" s="15" t="str">
        <f>"5/2012-A-99"</f>
        <v>5/2012-A-99</v>
      </c>
      <c r="D94" s="15" t="str">
        <f>CONCATENATE("DINARID D.O.O.")</f>
        <v>DINARID D.O.O.</v>
      </c>
      <c r="E94" s="16">
        <v>42339</v>
      </c>
      <c r="F94" s="22">
        <v>42510</v>
      </c>
      <c r="G94" s="13">
        <v>22630</v>
      </c>
      <c r="H94" s="22">
        <v>42510</v>
      </c>
      <c r="I94" s="13">
        <v>0</v>
      </c>
      <c r="J94" s="13">
        <f t="shared" si="5"/>
        <v>0</v>
      </c>
      <c r="K94" s="6"/>
    </row>
    <row r="95" spans="1:11" ht="108" x14ac:dyDescent="0.25">
      <c r="A95" s="3">
        <v>19</v>
      </c>
      <c r="B95" s="14" t="s">
        <v>44</v>
      </c>
      <c r="C95" s="15" t="str">
        <f>"5/2012-A-HP-288"</f>
        <v>5/2012-A-HP-288</v>
      </c>
      <c r="D95" s="15" t="str">
        <f t="shared" ref="D95:D107" si="6"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95" s="16">
        <v>42359</v>
      </c>
      <c r="F95" s="22">
        <v>42511</v>
      </c>
      <c r="G95" s="13">
        <v>1123600</v>
      </c>
      <c r="H95" s="22">
        <v>42511</v>
      </c>
      <c r="I95" s="13">
        <v>0</v>
      </c>
      <c r="J95" s="13">
        <f t="shared" si="5"/>
        <v>0</v>
      </c>
      <c r="K95" s="6"/>
    </row>
    <row r="96" spans="1:11" ht="108" x14ac:dyDescent="0.25">
      <c r="A96" s="3">
        <v>20</v>
      </c>
      <c r="B96" s="14" t="s">
        <v>25</v>
      </c>
      <c r="C96" s="15" t="str">
        <f>"5/2012-A-HP-289"</f>
        <v>5/2012-A-HP-289</v>
      </c>
      <c r="D96" s="15" t="str">
        <f t="shared" si="6"/>
        <v>1. Zajednica ponuditelja: 
    DINARID D.O.O.
    DALMAT D.O.O.
2. Zajednica ponuditelja: 
    KING ICT D.O.O.
    ZIT D.O.O.
3. B.T.C. D.O.O.</v>
      </c>
      <c r="E96" s="16">
        <v>42359</v>
      </c>
      <c r="F96" s="22">
        <v>42510</v>
      </c>
      <c r="G96" s="13">
        <v>85526</v>
      </c>
      <c r="H96" s="22">
        <v>42510</v>
      </c>
      <c r="I96" s="13">
        <v>0</v>
      </c>
      <c r="J96" s="13">
        <f t="shared" si="5"/>
        <v>0</v>
      </c>
      <c r="K96" s="6"/>
    </row>
    <row r="97" spans="1:11" ht="108" x14ac:dyDescent="0.25">
      <c r="A97" s="3">
        <v>21</v>
      </c>
      <c r="B97" s="14" t="s">
        <v>41</v>
      </c>
      <c r="C97" s="15" t="str">
        <f>"5/DUSJN-15/A"</f>
        <v>5/DUSJN-15/A</v>
      </c>
      <c r="D97" s="15" t="str">
        <f t="shared" si="6"/>
        <v>1. Zajednica ponuditelja: 
    DINARID D.O.O.
    DALMAT D.O.O.
2. Zajednica ponuditelja: 
    KING ICT D.O.O.
    ZIT D.O.O.
3. B.T.C. D.O.O.</v>
      </c>
      <c r="E97" s="16">
        <v>42345</v>
      </c>
      <c r="F97" s="22">
        <v>42711</v>
      </c>
      <c r="G97" s="13">
        <v>198844</v>
      </c>
      <c r="H97" s="22">
        <v>42711</v>
      </c>
      <c r="I97" s="13">
        <v>595</v>
      </c>
      <c r="J97" s="13">
        <f t="shared" si="5"/>
        <v>743.75</v>
      </c>
      <c r="K97" s="6"/>
    </row>
    <row r="98" spans="1:11" ht="108" x14ac:dyDescent="0.25">
      <c r="A98" s="3">
        <v>22</v>
      </c>
      <c r="B98" s="14" t="s">
        <v>42</v>
      </c>
      <c r="C98" s="15" t="str">
        <f>"SNUG-202-15-0068"</f>
        <v>SNUG-202-15-0068</v>
      </c>
      <c r="D98" s="15" t="str">
        <f t="shared" si="6"/>
        <v>1. Zajednica ponuditelja: 
    DINARID D.O.O.
    DALMAT D.O.O.
2. Zajednica ponuditelja: 
    KING ICT D.O.O.
    ZIT D.O.O.
3. B.T.C. D.O.O.</v>
      </c>
      <c r="E98" s="16">
        <v>42321</v>
      </c>
      <c r="F98" s="22">
        <v>42369</v>
      </c>
      <c r="G98" s="13">
        <v>195845</v>
      </c>
      <c r="H98" s="22">
        <v>42369</v>
      </c>
      <c r="I98" s="13">
        <v>195845</v>
      </c>
      <c r="J98" s="13">
        <f t="shared" si="5"/>
        <v>244806.25</v>
      </c>
      <c r="K98" s="6"/>
    </row>
    <row r="99" spans="1:11" ht="108" x14ac:dyDescent="0.25">
      <c r="A99" s="3">
        <v>23</v>
      </c>
      <c r="B99" s="14" t="s">
        <v>33</v>
      </c>
      <c r="C99" s="15" t="str">
        <f>"5/2012-A-HP-284"</f>
        <v>5/2012-A-HP-284</v>
      </c>
      <c r="D99" s="15" t="str">
        <f t="shared" si="6"/>
        <v>1. Zajednica ponuditelja: 
    DINARID D.O.O.
    DALMAT D.O.O.
2. Zajednica ponuditelja: 
    KING ICT D.O.O.
    ZIT D.O.O.
3. B.T.C. D.O.O.</v>
      </c>
      <c r="E99" s="16">
        <v>42296</v>
      </c>
      <c r="F99" s="22">
        <v>42662</v>
      </c>
      <c r="G99" s="13">
        <v>151410</v>
      </c>
      <c r="H99" s="22">
        <v>42662</v>
      </c>
      <c r="I99" s="13">
        <v>287228.7</v>
      </c>
      <c r="J99" s="13">
        <f t="shared" si="5"/>
        <v>359035.875</v>
      </c>
      <c r="K99" s="6"/>
    </row>
    <row r="100" spans="1:11" ht="108" x14ac:dyDescent="0.25">
      <c r="A100" s="3">
        <v>24</v>
      </c>
      <c r="B100" s="14" t="s">
        <v>91</v>
      </c>
      <c r="C100" s="15" t="str">
        <f>"U04/14-A"</f>
        <v>U04/14-A</v>
      </c>
      <c r="D100" s="15" t="str">
        <f t="shared" si="6"/>
        <v>1. Zajednica ponuditelja: 
    DINARID D.O.O.
    DALMAT D.O.O.
2. Zajednica ponuditelja: 
    KING ICT D.O.O.
    ZIT D.O.O.
3. B.T.C. D.O.O.</v>
      </c>
      <c r="E100" s="16">
        <v>42292</v>
      </c>
      <c r="F100" s="22">
        <v>42511</v>
      </c>
      <c r="G100" s="13">
        <v>242260</v>
      </c>
      <c r="H100" s="22">
        <v>42511</v>
      </c>
      <c r="I100" s="13">
        <v>20082</v>
      </c>
      <c r="J100" s="13">
        <f t="shared" si="5"/>
        <v>25102.5</v>
      </c>
      <c r="K100" s="6"/>
    </row>
    <row r="101" spans="1:11" ht="108" x14ac:dyDescent="0.25">
      <c r="A101" s="3">
        <v>25</v>
      </c>
      <c r="B101" s="14" t="s">
        <v>29</v>
      </c>
      <c r="C101" s="15" t="str">
        <f>"5/2012-A-HP-282"</f>
        <v>5/2012-A-HP-282</v>
      </c>
      <c r="D101" s="15" t="str">
        <f t="shared" si="6"/>
        <v>1. Zajednica ponuditelja: 
    DINARID D.O.O.
    DALMAT D.O.O.
2. Zajednica ponuditelja: 
    KING ICT D.O.O.
    ZIT D.O.O.
3. B.T.C. D.O.O.</v>
      </c>
      <c r="E101" s="16">
        <v>42292</v>
      </c>
      <c r="F101" s="22">
        <v>42511</v>
      </c>
      <c r="G101" s="13">
        <v>318457</v>
      </c>
      <c r="H101" s="22">
        <v>42511</v>
      </c>
      <c r="I101" s="13">
        <v>83186</v>
      </c>
      <c r="J101" s="13">
        <f t="shared" si="5"/>
        <v>103982.5</v>
      </c>
      <c r="K101" s="6"/>
    </row>
    <row r="102" spans="1:11" ht="108" x14ac:dyDescent="0.25">
      <c r="A102" s="3">
        <v>26</v>
      </c>
      <c r="B102" s="14" t="s">
        <v>42</v>
      </c>
      <c r="C102" s="15" t="str">
        <f>"SNUG-202-15-0009"</f>
        <v>SNUG-202-15-0009</v>
      </c>
      <c r="D102" s="15" t="str">
        <f t="shared" si="6"/>
        <v>1. Zajednica ponuditelja: 
    DINARID D.O.O.
    DALMAT D.O.O.
2. Zajednica ponuditelja: 
    KING ICT D.O.O.
    ZIT D.O.O.
3. B.T.C. D.O.O.</v>
      </c>
      <c r="E102" s="16">
        <v>42292</v>
      </c>
      <c r="F102" s="22">
        <v>42140</v>
      </c>
      <c r="G102" s="13">
        <v>169610</v>
      </c>
      <c r="H102" s="22">
        <v>42140</v>
      </c>
      <c r="I102" s="13">
        <v>169562</v>
      </c>
      <c r="J102" s="13">
        <f t="shared" si="5"/>
        <v>211952.5</v>
      </c>
      <c r="K102" s="6"/>
    </row>
    <row r="103" spans="1:11" ht="108" x14ac:dyDescent="0.25">
      <c r="A103" s="3">
        <v>27</v>
      </c>
      <c r="B103" s="14" t="s">
        <v>42</v>
      </c>
      <c r="C103" s="15" t="str">
        <f>"SNUG-202-15-044-1"</f>
        <v>SNUG-202-15-044-1</v>
      </c>
      <c r="D103" s="15" t="str">
        <f t="shared" si="6"/>
        <v>1. Zajednica ponuditelja: 
    DINARID D.O.O.
    DALMAT D.O.O.
2. Zajednica ponuditelja: 
    KING ICT D.O.O.
    ZIT D.O.O.
3. B.T.C. D.O.O.</v>
      </c>
      <c r="E103" s="16">
        <v>42215</v>
      </c>
      <c r="F103" s="22">
        <v>42369</v>
      </c>
      <c r="G103" s="13">
        <v>197937</v>
      </c>
      <c r="H103" s="22">
        <v>42369</v>
      </c>
      <c r="I103" s="13">
        <v>197937</v>
      </c>
      <c r="J103" s="13">
        <f t="shared" si="5"/>
        <v>247421.25</v>
      </c>
      <c r="K103" s="6"/>
    </row>
    <row r="104" spans="1:11" ht="108" x14ac:dyDescent="0.25">
      <c r="A104" s="3">
        <v>28</v>
      </c>
      <c r="B104" s="14" t="s">
        <v>59</v>
      </c>
      <c r="C104" s="15" t="str">
        <f>"000281/2015"</f>
        <v>000281/2015</v>
      </c>
      <c r="D104" s="15" t="str">
        <f t="shared" si="6"/>
        <v>1. Zajednica ponuditelja: 
    DINARID D.O.O.
    DALMAT D.O.O.
2. Zajednica ponuditelja: 
    KING ICT D.O.O.
    ZIT D.O.O.
3. B.T.C. D.O.O.</v>
      </c>
      <c r="E104" s="16">
        <v>42164</v>
      </c>
      <c r="F104" s="22">
        <v>42511</v>
      </c>
      <c r="G104" s="13">
        <v>59145</v>
      </c>
      <c r="H104" s="22">
        <v>42511</v>
      </c>
      <c r="I104" s="13">
        <v>8370</v>
      </c>
      <c r="J104" s="13">
        <f t="shared" si="5"/>
        <v>10462.5</v>
      </c>
      <c r="K104" s="6"/>
    </row>
    <row r="105" spans="1:11" ht="108" x14ac:dyDescent="0.25">
      <c r="A105" s="3">
        <v>29</v>
      </c>
      <c r="B105" s="14" t="s">
        <v>39</v>
      </c>
      <c r="C105" s="15" t="str">
        <f>"2203/15"</f>
        <v>2203/15</v>
      </c>
      <c r="D105" s="15" t="str">
        <f t="shared" si="6"/>
        <v>1. Zajednica ponuditelja: 
    DINARID D.O.O.
    DALMAT D.O.O.
2. Zajednica ponuditelja: 
    KING ICT D.O.O.
    ZIT D.O.O.
3. B.T.C. D.O.O.</v>
      </c>
      <c r="E105" s="16">
        <v>42139</v>
      </c>
      <c r="F105" s="22">
        <v>42170</v>
      </c>
      <c r="G105" s="13">
        <v>3969</v>
      </c>
      <c r="H105" s="22">
        <v>42170</v>
      </c>
      <c r="I105" s="13">
        <v>3969</v>
      </c>
      <c r="J105" s="13">
        <f t="shared" si="5"/>
        <v>4961.25</v>
      </c>
      <c r="K105" s="6"/>
    </row>
    <row r="106" spans="1:11" ht="108" x14ac:dyDescent="0.25">
      <c r="A106" s="3">
        <v>30</v>
      </c>
      <c r="B106" s="14" t="s">
        <v>42</v>
      </c>
      <c r="C106" s="15" t="str">
        <f>"SNUG-202-15-0036"</f>
        <v>SNUG-202-15-0036</v>
      </c>
      <c r="D106" s="15" t="str">
        <f t="shared" si="6"/>
        <v>1. Zajednica ponuditelja: 
    DINARID D.O.O.
    DALMAT D.O.O.
2. Zajednica ponuditelja: 
    KING ICT D.O.O.
    ZIT D.O.O.
3. B.T.C. D.O.O.</v>
      </c>
      <c r="E106" s="16">
        <v>42135</v>
      </c>
      <c r="F106" s="22">
        <v>42196</v>
      </c>
      <c r="G106" s="13">
        <v>167884</v>
      </c>
      <c r="H106" s="22">
        <v>42196</v>
      </c>
      <c r="I106" s="13">
        <v>167394</v>
      </c>
      <c r="J106" s="13">
        <f t="shared" si="5"/>
        <v>209242.5</v>
      </c>
      <c r="K106" s="6"/>
    </row>
    <row r="107" spans="1:11" ht="108" x14ac:dyDescent="0.25">
      <c r="A107" s="3">
        <v>31</v>
      </c>
      <c r="B107" s="14" t="s">
        <v>30</v>
      </c>
      <c r="C107" s="15" t="str">
        <f>"510/7.A-A-0018/15-90"</f>
        <v>510/7.A-A-0018/15-90</v>
      </c>
      <c r="D107" s="15" t="str">
        <f t="shared" si="6"/>
        <v>1. Zajednica ponuditelja: 
    DINARID D.O.O.
    DALMAT D.O.O.
2. Zajednica ponuditelja: 
    KING ICT D.O.O.
    ZIT D.O.O.
3. B.T.C. D.O.O.</v>
      </c>
      <c r="E107" s="16">
        <v>42110</v>
      </c>
      <c r="F107" s="22">
        <v>42476</v>
      </c>
      <c r="G107" s="13">
        <v>142288</v>
      </c>
      <c r="H107" s="22">
        <v>42476</v>
      </c>
      <c r="I107" s="13">
        <v>64297</v>
      </c>
      <c r="J107" s="13">
        <f t="shared" si="5"/>
        <v>80371.25</v>
      </c>
      <c r="K107" s="6"/>
    </row>
    <row r="108" spans="1:11" x14ac:dyDescent="0.25">
      <c r="A108" s="3">
        <v>32</v>
      </c>
      <c r="B108" s="14" t="s">
        <v>53</v>
      </c>
      <c r="C108" s="15" t="str">
        <f>"5/2012-A-MB"</f>
        <v>5/2012-A-MB</v>
      </c>
      <c r="D108" s="15" t="str">
        <f>CONCATENATE("DINARID D.O.O.")</f>
        <v>DINARID D.O.O.</v>
      </c>
      <c r="E108" s="16">
        <v>42095</v>
      </c>
      <c r="F108" s="22">
        <v>42369</v>
      </c>
      <c r="G108" s="13">
        <v>0</v>
      </c>
      <c r="H108" s="22">
        <v>42369</v>
      </c>
      <c r="I108" s="13">
        <v>43564</v>
      </c>
      <c r="J108" s="13">
        <f t="shared" si="5"/>
        <v>54455</v>
      </c>
      <c r="K108" s="6"/>
    </row>
    <row r="109" spans="1:11" ht="108" x14ac:dyDescent="0.25">
      <c r="A109" s="3">
        <v>33</v>
      </c>
      <c r="B109" s="14" t="s">
        <v>39</v>
      </c>
      <c r="C109" s="15" t="str">
        <f>"BROJ3/14"</f>
        <v>BROJ3/14</v>
      </c>
      <c r="D109" s="15" t="str">
        <f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109" s="16">
        <v>42069</v>
      </c>
      <c r="F109" s="22">
        <v>42006</v>
      </c>
      <c r="G109" s="13">
        <v>7140</v>
      </c>
      <c r="H109" s="22">
        <v>42006</v>
      </c>
      <c r="I109" s="13">
        <v>6872</v>
      </c>
      <c r="J109" s="13">
        <f t="shared" si="5"/>
        <v>8590</v>
      </c>
      <c r="K109" s="6"/>
    </row>
    <row r="110" spans="1:11" ht="108" x14ac:dyDescent="0.25">
      <c r="A110" s="3">
        <v>34</v>
      </c>
      <c r="B110" s="14" t="s">
        <v>43</v>
      </c>
      <c r="C110" s="15" t="str">
        <f>"5/2012-A-HP-256"</f>
        <v>5/2012-A-HP-256</v>
      </c>
      <c r="D110" s="15" t="str">
        <f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110" s="16">
        <v>42296</v>
      </c>
      <c r="F110" s="22">
        <v>42369</v>
      </c>
      <c r="G110" s="13">
        <v>77026</v>
      </c>
      <c r="H110" s="22">
        <v>42369</v>
      </c>
      <c r="I110" s="13">
        <v>71655</v>
      </c>
      <c r="J110" s="13">
        <f t="shared" si="5"/>
        <v>89568.75</v>
      </c>
      <c r="K110" s="6"/>
    </row>
    <row r="111" spans="1:11" ht="108" x14ac:dyDescent="0.25">
      <c r="A111" s="3">
        <v>35</v>
      </c>
      <c r="B111" s="14" t="s">
        <v>62</v>
      </c>
      <c r="C111" s="15" t="str">
        <f>"5/2012-A-HP-251"</f>
        <v>5/2012-A-HP-251</v>
      </c>
      <c r="D111" s="15" t="str">
        <f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111" s="16">
        <v>42060</v>
      </c>
      <c r="F111" s="22">
        <v>42369</v>
      </c>
      <c r="G111" s="13">
        <v>254960</v>
      </c>
      <c r="H111" s="22">
        <v>42369</v>
      </c>
      <c r="I111" s="13">
        <v>252960</v>
      </c>
      <c r="J111" s="13">
        <f t="shared" si="5"/>
        <v>316200</v>
      </c>
      <c r="K111" s="6"/>
    </row>
    <row r="112" spans="1:11" ht="108" x14ac:dyDescent="0.25">
      <c r="A112" s="3">
        <v>36</v>
      </c>
      <c r="B112" s="14" t="s">
        <v>25</v>
      </c>
      <c r="C112" s="15" t="str">
        <f>"5/2012-A-HP-238"</f>
        <v>5/2012-A-HP-238</v>
      </c>
      <c r="D112" s="15" t="str">
        <f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112" s="16">
        <v>42011</v>
      </c>
      <c r="F112" s="22">
        <v>42369</v>
      </c>
      <c r="G112" s="13">
        <v>89434</v>
      </c>
      <c r="H112" s="22">
        <v>42369</v>
      </c>
      <c r="I112" s="13">
        <v>91936</v>
      </c>
      <c r="J112" s="13">
        <f t="shared" si="5"/>
        <v>114920</v>
      </c>
      <c r="K112" s="6"/>
    </row>
    <row r="113" spans="1:11" ht="24" x14ac:dyDescent="0.25">
      <c r="A113" s="3">
        <v>37</v>
      </c>
      <c r="B113" s="14" t="s">
        <v>61</v>
      </c>
      <c r="C113" s="15" t="str">
        <f>"5/2012-A"</f>
        <v>5/2012-A</v>
      </c>
      <c r="D113" s="15" t="str">
        <f>CONCATENATE("DINARID D.O.O.")</f>
        <v>DINARID D.O.O.</v>
      </c>
      <c r="E113" s="16">
        <v>42005</v>
      </c>
      <c r="F113" s="22">
        <v>42369</v>
      </c>
      <c r="G113" s="13">
        <v>22170</v>
      </c>
      <c r="H113" s="22">
        <v>42369</v>
      </c>
      <c r="I113" s="13">
        <v>22170</v>
      </c>
      <c r="J113" s="13">
        <f t="shared" si="5"/>
        <v>27712.5</v>
      </c>
      <c r="K113" s="6"/>
    </row>
    <row r="114" spans="1:11" ht="36" x14ac:dyDescent="0.25">
      <c r="A114" s="3">
        <v>38</v>
      </c>
      <c r="B114" s="14" t="s">
        <v>34</v>
      </c>
      <c r="C114" s="15" t="str">
        <f>"NAR/2015-A"</f>
        <v>NAR/2015-A</v>
      </c>
      <c r="D114" s="15" t="str">
        <f>CONCATENATE("DINARID D.O.O.")</f>
        <v>DINARID D.O.O.</v>
      </c>
      <c r="E114" s="16">
        <v>42005</v>
      </c>
      <c r="F114" s="22">
        <v>42338</v>
      </c>
      <c r="G114" s="13">
        <v>152589</v>
      </c>
      <c r="H114" s="22">
        <v>42338</v>
      </c>
      <c r="I114" s="13">
        <v>152589</v>
      </c>
      <c r="J114" s="13">
        <f t="shared" si="5"/>
        <v>190736.25</v>
      </c>
      <c r="K114" s="6"/>
    </row>
    <row r="115" spans="1:11" ht="108" x14ac:dyDescent="0.25">
      <c r="A115" s="3">
        <v>39</v>
      </c>
      <c r="B115" s="14" t="s">
        <v>27</v>
      </c>
      <c r="C115" s="15" t="str">
        <f>"5/2012-A-HP-2"</f>
        <v>5/2012-A-HP-2</v>
      </c>
      <c r="D115" s="15" t="str">
        <f t="shared" ref="D115:D122" si="7">CONCATENATE("1. Zajednica ponuditelja: ",CHAR(10),"    DINARID D.O.O.",CHAR(10),"    DALMAT D.O.O.",CHAR(10),"2. Zajednica ponuditelja: ",CHAR(10),"    KING ICT D.O.O.",CHAR(10),"    ZIT D.O.O.",CHAR(10),"3. B.T.C. D.O.O.")</f>
        <v>1. Zajednica ponuditelja: 
    DINARID D.O.O.
    DALMAT D.O.O.
2. Zajednica ponuditelja: 
    KING ICT D.O.O.
    ZIT D.O.O.
3. B.T.C. D.O.O.</v>
      </c>
      <c r="E115" s="16">
        <v>41996</v>
      </c>
      <c r="F115" s="22">
        <v>42361</v>
      </c>
      <c r="G115" s="13">
        <v>781144</v>
      </c>
      <c r="H115" s="22">
        <v>42361</v>
      </c>
      <c r="I115" s="13">
        <v>285789</v>
      </c>
      <c r="J115" s="13">
        <f t="shared" si="5"/>
        <v>357236.25</v>
      </c>
      <c r="K115" s="6"/>
    </row>
    <row r="116" spans="1:11" ht="108" x14ac:dyDescent="0.25">
      <c r="A116" s="3">
        <v>40</v>
      </c>
      <c r="B116" s="14" t="s">
        <v>48</v>
      </c>
      <c r="C116" s="15" t="str">
        <f>"5/2012-A-HP-236"</f>
        <v>5/2012-A-HP-236</v>
      </c>
      <c r="D116" s="15" t="str">
        <f t="shared" si="7"/>
        <v>1. Zajednica ponuditelja: 
    DINARID D.O.O.
    DALMAT D.O.O.
2. Zajednica ponuditelja: 
    KING ICT D.O.O.
    ZIT D.O.O.
3. B.T.C. D.O.O.</v>
      </c>
      <c r="E116" s="16">
        <v>41981</v>
      </c>
      <c r="F116" s="22">
        <v>42369</v>
      </c>
      <c r="G116" s="13">
        <v>90213</v>
      </c>
      <c r="H116" s="22">
        <v>42369</v>
      </c>
      <c r="I116" s="13">
        <v>48580</v>
      </c>
      <c r="J116" s="13">
        <f t="shared" si="5"/>
        <v>60725</v>
      </c>
      <c r="K116" s="6"/>
    </row>
    <row r="117" spans="1:11" ht="108" x14ac:dyDescent="0.25">
      <c r="A117" s="3">
        <v>41</v>
      </c>
      <c r="B117" s="14" t="s">
        <v>44</v>
      </c>
      <c r="C117" s="15" t="str">
        <f>"5/2012-A-HP-239"</f>
        <v>5/2012-A-HP-239</v>
      </c>
      <c r="D117" s="15" t="str">
        <f t="shared" si="7"/>
        <v>1. Zajednica ponuditelja: 
    DINARID D.O.O.
    DALMAT D.O.O.
2. Zajednica ponuditelja: 
    KING ICT D.O.O.
    ZIT D.O.O.
3. B.T.C. D.O.O.</v>
      </c>
      <c r="E117" s="16">
        <v>41977</v>
      </c>
      <c r="F117" s="22">
        <v>42342</v>
      </c>
      <c r="G117" s="13">
        <v>2244110</v>
      </c>
      <c r="H117" s="22">
        <v>42342</v>
      </c>
      <c r="I117" s="13">
        <v>1825207</v>
      </c>
      <c r="J117" s="13">
        <f t="shared" si="5"/>
        <v>2281508.75</v>
      </c>
      <c r="K117" s="6"/>
    </row>
    <row r="118" spans="1:11" ht="108" x14ac:dyDescent="0.25">
      <c r="A118" s="3">
        <v>42</v>
      </c>
      <c r="B118" s="14" t="s">
        <v>41</v>
      </c>
      <c r="C118" s="15" t="str">
        <f>"5/DUSJN-14-A"</f>
        <v>5/DUSJN-14-A</v>
      </c>
      <c r="D118" s="15" t="str">
        <f t="shared" si="7"/>
        <v>1. Zajednica ponuditelja: 
    DINARID D.O.O.
    DALMAT D.O.O.
2. Zajednica ponuditelja: 
    KING ICT D.O.O.
    ZIT D.O.O.
3. B.T.C. D.O.O.</v>
      </c>
      <c r="E118" s="16">
        <v>41974</v>
      </c>
      <c r="F118" s="22">
        <v>42339</v>
      </c>
      <c r="G118" s="13">
        <v>168928</v>
      </c>
      <c r="H118" s="22">
        <v>42339</v>
      </c>
      <c r="I118" s="13">
        <v>135908</v>
      </c>
      <c r="J118" s="13">
        <f t="shared" si="5"/>
        <v>169885</v>
      </c>
      <c r="K118" s="6"/>
    </row>
    <row r="119" spans="1:11" ht="108" x14ac:dyDescent="0.25">
      <c r="A119" s="3">
        <v>43</v>
      </c>
      <c r="B119" s="14" t="s">
        <v>36</v>
      </c>
      <c r="C119" s="15" t="str">
        <f>"5/2012-A-HP-167"</f>
        <v>5/2012-A-HP-167</v>
      </c>
      <c r="D119" s="15" t="str">
        <f t="shared" si="7"/>
        <v>1. Zajednica ponuditelja: 
    DINARID D.O.O.
    DALMAT D.O.O.
2. Zajednica ponuditelja: 
    KING ICT D.O.O.
    ZIT D.O.O.
3. B.T.C. D.O.O.</v>
      </c>
      <c r="E119" s="16">
        <v>41851</v>
      </c>
      <c r="F119" s="22">
        <v>42511</v>
      </c>
      <c r="G119" s="13">
        <v>358360</v>
      </c>
      <c r="H119" s="22">
        <v>42511</v>
      </c>
      <c r="I119" s="13">
        <v>125988</v>
      </c>
      <c r="J119" s="13">
        <f t="shared" si="5"/>
        <v>157485</v>
      </c>
      <c r="K119" s="6"/>
    </row>
    <row r="120" spans="1:11" ht="108" x14ac:dyDescent="0.25">
      <c r="A120" s="3">
        <v>44</v>
      </c>
      <c r="B120" s="14" t="s">
        <v>29</v>
      </c>
      <c r="C120" s="15" t="str">
        <f>"5/2012-A-HP-161"</f>
        <v>5/2012-A-HP-161</v>
      </c>
      <c r="D120" s="15" t="str">
        <f t="shared" si="7"/>
        <v>1. Zajednica ponuditelja: 
    DINARID D.O.O.
    DALMAT D.O.O.
2. Zajednica ponuditelja: 
    KING ICT D.O.O.
    ZIT D.O.O.
3. B.T.C. D.O.O.</v>
      </c>
      <c r="E120" s="16">
        <v>41836</v>
      </c>
      <c r="F120" s="22">
        <v>42201</v>
      </c>
      <c r="G120" s="13">
        <v>288936</v>
      </c>
      <c r="H120" s="22">
        <v>42201</v>
      </c>
      <c r="I120" s="13">
        <v>140362</v>
      </c>
      <c r="J120" s="13">
        <f t="shared" si="5"/>
        <v>175452.5</v>
      </c>
      <c r="K120" s="6"/>
    </row>
    <row r="121" spans="1:11" ht="108" x14ac:dyDescent="0.25">
      <c r="A121" s="3">
        <v>45</v>
      </c>
      <c r="B121" s="14" t="s">
        <v>35</v>
      </c>
      <c r="C121" s="15" t="str">
        <f>"183/2014"</f>
        <v>183/2014</v>
      </c>
      <c r="D121" s="15" t="str">
        <f t="shared" si="7"/>
        <v>1. Zajednica ponuditelja: 
    DINARID D.O.O.
    DALMAT D.O.O.
2. Zajednica ponuditelja: 
    KING ICT D.O.O.
    ZIT D.O.O.
3. B.T.C. D.O.O.</v>
      </c>
      <c r="E121" s="16">
        <v>41828</v>
      </c>
      <c r="F121" s="22">
        <v>42185</v>
      </c>
      <c r="G121" s="13">
        <v>574765</v>
      </c>
      <c r="H121" s="22">
        <v>42185</v>
      </c>
      <c r="I121" s="13">
        <v>938069.05</v>
      </c>
      <c r="J121" s="13">
        <f t="shared" si="5"/>
        <v>1172586.3125</v>
      </c>
      <c r="K121" s="6"/>
    </row>
    <row r="122" spans="1:11" ht="108" x14ac:dyDescent="0.25">
      <c r="A122" s="3">
        <v>46</v>
      </c>
      <c r="B122" s="14" t="s">
        <v>55</v>
      </c>
      <c r="C122" s="15" t="str">
        <f>"32-112-13(5/2012-A)-4"</f>
        <v>32-112-13(5/2012-A)-4</v>
      </c>
      <c r="D122" s="15" t="str">
        <f t="shared" si="7"/>
        <v>1. Zajednica ponuditelja: 
    DINARID D.O.O.
    DALMAT D.O.O.
2. Zajednica ponuditelja: 
    KING ICT D.O.O.
    ZIT D.O.O.
3. B.T.C. D.O.O.</v>
      </c>
      <c r="E122" s="16">
        <v>41499</v>
      </c>
      <c r="F122" s="22">
        <v>42511</v>
      </c>
      <c r="G122" s="13">
        <v>1930249</v>
      </c>
      <c r="H122" s="22">
        <v>42511</v>
      </c>
      <c r="I122" s="13">
        <v>348870</v>
      </c>
      <c r="J122" s="13">
        <f t="shared" si="5"/>
        <v>436087.5</v>
      </c>
      <c r="K122" s="6"/>
    </row>
    <row r="123" spans="1:11" ht="7.5" customHeight="1" x14ac:dyDescent="0.25"/>
    <row r="124" spans="1:11" ht="42" customHeight="1" x14ac:dyDescent="0.25">
      <c r="A124" s="1" t="s">
        <v>0</v>
      </c>
      <c r="B124" s="2" t="s">
        <v>1</v>
      </c>
      <c r="C124" s="2" t="s">
        <v>6</v>
      </c>
      <c r="D124" s="2" t="s">
        <v>2</v>
      </c>
      <c r="E124" s="2" t="s">
        <v>3</v>
      </c>
      <c r="F124" s="2" t="s">
        <v>7</v>
      </c>
      <c r="G124" s="2" t="s">
        <v>8</v>
      </c>
      <c r="H124" s="2" t="s">
        <v>4</v>
      </c>
      <c r="I124" s="2" t="s">
        <v>5</v>
      </c>
    </row>
    <row r="125" spans="1:11" x14ac:dyDescent="0.25">
      <c r="A125" s="3">
        <v>1</v>
      </c>
      <c r="B125" s="6" t="s">
        <v>661</v>
      </c>
      <c r="C125" s="3" t="s">
        <v>139</v>
      </c>
      <c r="D125" s="3" t="s">
        <v>686</v>
      </c>
      <c r="E125" s="3" t="s">
        <v>24</v>
      </c>
      <c r="F125" s="21">
        <v>41415</v>
      </c>
      <c r="G125" s="3" t="s">
        <v>116</v>
      </c>
      <c r="H125" s="7">
        <v>11300000</v>
      </c>
      <c r="I125" s="7">
        <v>11269681.48</v>
      </c>
    </row>
    <row r="126" spans="1:11" x14ac:dyDescent="0.25">
      <c r="A126" s="42" t="s">
        <v>706</v>
      </c>
      <c r="B126" s="43"/>
      <c r="C126" s="43"/>
      <c r="D126" s="43"/>
      <c r="E126" s="43"/>
      <c r="F126" s="43"/>
      <c r="G126" s="43"/>
      <c r="H126" s="44"/>
      <c r="I126" s="7">
        <v>1780621.91</v>
      </c>
    </row>
    <row r="127" spans="1:11" ht="7.5" customHeight="1" x14ac:dyDescent="0.25"/>
    <row r="128" spans="1:11" x14ac:dyDescent="0.25">
      <c r="A128" s="46" t="s">
        <v>20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1:11" ht="63.75" customHeight="1" x14ac:dyDescent="0.25">
      <c r="A129" s="4" t="s">
        <v>0</v>
      </c>
      <c r="B129" s="5" t="s">
        <v>10</v>
      </c>
      <c r="C129" s="5" t="s">
        <v>9</v>
      </c>
      <c r="D129" s="5" t="s">
        <v>13</v>
      </c>
      <c r="E129" s="5" t="s">
        <v>12</v>
      </c>
      <c r="F129" s="5" t="s">
        <v>11</v>
      </c>
      <c r="G129" s="5" t="s">
        <v>18</v>
      </c>
      <c r="H129" s="5" t="s">
        <v>14</v>
      </c>
      <c r="I129" s="5" t="s">
        <v>15</v>
      </c>
      <c r="J129" s="5" t="s">
        <v>16</v>
      </c>
      <c r="K129" s="5" t="s">
        <v>17</v>
      </c>
    </row>
    <row r="130" spans="1:11" x14ac:dyDescent="0.25">
      <c r="A130" s="3">
        <v>1</v>
      </c>
      <c r="B130" s="14" t="s">
        <v>82</v>
      </c>
      <c r="C130" s="15" t="str">
        <f>"NAR/2015-HS-B"</f>
        <v>NAR/2015-HS-B</v>
      </c>
      <c r="D130" s="15" t="str">
        <f>CONCATENATE("DINARID D.O.O.")</f>
        <v>DINARID D.O.O.</v>
      </c>
      <c r="E130" s="16">
        <v>42005</v>
      </c>
      <c r="F130" s="22">
        <v>42369</v>
      </c>
      <c r="G130" s="13">
        <v>16211</v>
      </c>
      <c r="H130" s="22">
        <v>42369</v>
      </c>
      <c r="I130" s="13">
        <v>16211</v>
      </c>
      <c r="J130" s="13">
        <f>I130*1.25</f>
        <v>20263.75</v>
      </c>
      <c r="K130" s="6"/>
    </row>
    <row r="131" spans="1:11" x14ac:dyDescent="0.25">
      <c r="A131" s="3">
        <v>2</v>
      </c>
      <c r="B131" s="14" t="s">
        <v>90</v>
      </c>
      <c r="C131" s="15" t="str">
        <f>"U-9A-MV/15"</f>
        <v>U-9A-MV/15</v>
      </c>
      <c r="D131" s="15" t="str">
        <f>CONCATENATE("MAKROMIKRO D.O.O.")</f>
        <v>MAKROMIKRO D.O.O.</v>
      </c>
      <c r="E131" s="16">
        <v>42283</v>
      </c>
      <c r="F131" s="22">
        <v>42511</v>
      </c>
      <c r="G131" s="13">
        <v>36838.25</v>
      </c>
      <c r="H131" s="22">
        <v>42511</v>
      </c>
      <c r="I131" s="13">
        <v>4767.6000000000004</v>
      </c>
      <c r="J131" s="13">
        <f t="shared" ref="J131:J169" si="8">I131*1.25</f>
        <v>5959.5</v>
      </c>
      <c r="K131" s="6"/>
    </row>
    <row r="132" spans="1:11" ht="24" x14ac:dyDescent="0.25">
      <c r="A132" s="3">
        <v>3</v>
      </c>
      <c r="B132" s="14" t="s">
        <v>37</v>
      </c>
      <c r="C132" s="15" t="str">
        <f>"5/2012-B-100"</f>
        <v>5/2012-B-100</v>
      </c>
      <c r="D132" s="15" t="str">
        <f t="shared" ref="D132:D138" si="9">CONCATENATE("DINARID D.O.O.")</f>
        <v>DINARID D.O.O.</v>
      </c>
      <c r="E132" s="16">
        <v>42339</v>
      </c>
      <c r="F132" s="22"/>
      <c r="G132" s="13">
        <v>6130</v>
      </c>
      <c r="H132" s="22"/>
      <c r="I132" s="13">
        <v>0</v>
      </c>
      <c r="J132" s="13">
        <f t="shared" si="8"/>
        <v>0</v>
      </c>
      <c r="K132" s="6"/>
    </row>
    <row r="133" spans="1:11" x14ac:dyDescent="0.25">
      <c r="A133" s="3">
        <v>4</v>
      </c>
      <c r="B133" s="14" t="s">
        <v>90</v>
      </c>
      <c r="C133" s="15" t="str">
        <f>"U-11-MV/14"</f>
        <v>U-11-MV/14</v>
      </c>
      <c r="D133" s="15" t="str">
        <f t="shared" si="9"/>
        <v>DINARID D.O.O.</v>
      </c>
      <c r="E133" s="16">
        <v>41898</v>
      </c>
      <c r="F133" s="22">
        <v>42263</v>
      </c>
      <c r="G133" s="13">
        <v>37423</v>
      </c>
      <c r="H133" s="22">
        <v>42263</v>
      </c>
      <c r="I133" s="13">
        <v>15748</v>
      </c>
      <c r="J133" s="13">
        <f t="shared" si="8"/>
        <v>19685</v>
      </c>
      <c r="K133" s="6"/>
    </row>
    <row r="134" spans="1:11" ht="24" x14ac:dyDescent="0.25">
      <c r="A134" s="3">
        <v>5</v>
      </c>
      <c r="B134" s="14" t="s">
        <v>32</v>
      </c>
      <c r="C134" s="15" t="str">
        <f>"920-07/13-13/32"</f>
        <v>920-07/13-13/32</v>
      </c>
      <c r="D134" s="15" t="str">
        <f t="shared" si="9"/>
        <v>DINARID D.O.O.</v>
      </c>
      <c r="E134" s="16">
        <v>41565</v>
      </c>
      <c r="F134" s="22"/>
      <c r="G134" s="13">
        <v>38108.800000000003</v>
      </c>
      <c r="H134" s="22"/>
      <c r="I134" s="13">
        <v>4442</v>
      </c>
      <c r="J134" s="13">
        <f t="shared" si="8"/>
        <v>5552.5</v>
      </c>
      <c r="K134" s="6"/>
    </row>
    <row r="135" spans="1:11" ht="24" x14ac:dyDescent="0.25">
      <c r="A135" s="3">
        <v>6</v>
      </c>
      <c r="B135" s="14" t="s">
        <v>45</v>
      </c>
      <c r="C135" s="15" t="str">
        <f>"5/2012-B-U2"</f>
        <v>5/2012-B-U2</v>
      </c>
      <c r="D135" s="15" t="str">
        <f t="shared" si="9"/>
        <v>DINARID D.O.O.</v>
      </c>
      <c r="E135" s="16">
        <v>41926</v>
      </c>
      <c r="F135" s="22">
        <v>42291</v>
      </c>
      <c r="G135" s="13">
        <v>1785</v>
      </c>
      <c r="H135" s="22">
        <v>42291</v>
      </c>
      <c r="I135" s="13">
        <v>0</v>
      </c>
      <c r="J135" s="13">
        <f t="shared" si="8"/>
        <v>0</v>
      </c>
      <c r="K135" s="6"/>
    </row>
    <row r="136" spans="1:11" x14ac:dyDescent="0.25">
      <c r="A136" s="3">
        <v>7</v>
      </c>
      <c r="B136" s="14" t="s">
        <v>49</v>
      </c>
      <c r="C136" s="15" t="str">
        <f>"361/2015"</f>
        <v>361/2015</v>
      </c>
      <c r="D136" s="15" t="str">
        <f t="shared" si="9"/>
        <v>DINARID D.O.O.</v>
      </c>
      <c r="E136" s="16">
        <v>42103</v>
      </c>
      <c r="F136" s="22"/>
      <c r="G136" s="13">
        <v>544</v>
      </c>
      <c r="H136" s="22"/>
      <c r="I136" s="13">
        <v>28163</v>
      </c>
      <c r="J136" s="13">
        <f t="shared" si="8"/>
        <v>35203.75</v>
      </c>
      <c r="K136" s="6"/>
    </row>
    <row r="137" spans="1:11" ht="24" x14ac:dyDescent="0.25">
      <c r="A137" s="3">
        <v>8</v>
      </c>
      <c r="B137" s="14" t="s">
        <v>31</v>
      </c>
      <c r="C137" s="15" t="str">
        <f>"NAR2015-LR2"</f>
        <v>NAR2015-LR2</v>
      </c>
      <c r="D137" s="15" t="str">
        <f t="shared" si="9"/>
        <v>DINARID D.O.O.</v>
      </c>
      <c r="E137" s="16">
        <v>42369</v>
      </c>
      <c r="F137" s="22"/>
      <c r="G137" s="13">
        <v>5473</v>
      </c>
      <c r="H137" s="22"/>
      <c r="I137" s="13">
        <v>5473</v>
      </c>
      <c r="J137" s="13">
        <f t="shared" si="8"/>
        <v>6841.25</v>
      </c>
      <c r="K137" s="6"/>
    </row>
    <row r="138" spans="1:11" ht="24" x14ac:dyDescent="0.25">
      <c r="A138" s="3">
        <v>9</v>
      </c>
      <c r="B138" s="14" t="s">
        <v>28</v>
      </c>
      <c r="C138" s="15" t="str">
        <f>"MGPU 5/2012-B"</f>
        <v>MGPU 5/2012-B</v>
      </c>
      <c r="D138" s="15" t="str">
        <f t="shared" si="9"/>
        <v>DINARID D.O.O.</v>
      </c>
      <c r="E138" s="16">
        <v>42006</v>
      </c>
      <c r="F138" s="22">
        <v>42369</v>
      </c>
      <c r="G138" s="13">
        <v>56357</v>
      </c>
      <c r="H138" s="22">
        <v>42369</v>
      </c>
      <c r="I138" s="13">
        <v>22132</v>
      </c>
      <c r="J138" s="13">
        <f t="shared" si="8"/>
        <v>27665</v>
      </c>
      <c r="K138" s="6"/>
    </row>
    <row r="139" spans="1:11" ht="108" x14ac:dyDescent="0.25">
      <c r="A139" s="3">
        <v>10</v>
      </c>
      <c r="B139" s="14" t="s">
        <v>43</v>
      </c>
      <c r="C139" s="15" t="str">
        <f>"5/2012-B-CANON-157"</f>
        <v>5/2012-B-CANON-157</v>
      </c>
      <c r="D139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39" s="16">
        <v>42055</v>
      </c>
      <c r="F139" s="22">
        <v>42369</v>
      </c>
      <c r="G139" s="13">
        <v>14407.4</v>
      </c>
      <c r="H139" s="22">
        <v>42369</v>
      </c>
      <c r="I139" s="13">
        <v>14407.4</v>
      </c>
      <c r="J139" s="13">
        <f t="shared" si="8"/>
        <v>18009.25</v>
      </c>
      <c r="K139" s="6"/>
    </row>
    <row r="140" spans="1:11" ht="24" x14ac:dyDescent="0.25">
      <c r="A140" s="3">
        <v>11</v>
      </c>
      <c r="B140" s="14" t="s">
        <v>37</v>
      </c>
      <c r="C140" s="15" t="str">
        <f>"5/2012-B-71"</f>
        <v>5/2012-B-71</v>
      </c>
      <c r="D140" s="15" t="str">
        <f>CONCATENATE("DINARID D.O.O.")</f>
        <v>DINARID D.O.O.</v>
      </c>
      <c r="E140" s="16">
        <v>41970</v>
      </c>
      <c r="F140" s="22">
        <v>42334</v>
      </c>
      <c r="G140" s="13">
        <v>11972</v>
      </c>
      <c r="H140" s="22">
        <v>42334</v>
      </c>
      <c r="I140" s="13">
        <v>8962</v>
      </c>
      <c r="J140" s="13">
        <f t="shared" si="8"/>
        <v>11202.5</v>
      </c>
      <c r="K140" s="6"/>
    </row>
    <row r="141" spans="1:11" ht="108" x14ac:dyDescent="0.25">
      <c r="A141" s="3">
        <v>12</v>
      </c>
      <c r="B141" s="14" t="s">
        <v>44</v>
      </c>
      <c r="C141" s="15" t="str">
        <f>"5/2012-B-CANON-288"</f>
        <v>5/2012-B-CANON-288</v>
      </c>
      <c r="D141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41" s="16">
        <v>42359</v>
      </c>
      <c r="F141" s="22">
        <v>42511</v>
      </c>
      <c r="G141" s="13">
        <v>199056</v>
      </c>
      <c r="H141" s="22">
        <v>42511</v>
      </c>
      <c r="I141" s="13">
        <v>0</v>
      </c>
      <c r="J141" s="13">
        <f t="shared" si="8"/>
        <v>0</v>
      </c>
      <c r="K141" s="6"/>
    </row>
    <row r="142" spans="1:11" ht="108" x14ac:dyDescent="0.25">
      <c r="A142" s="3">
        <v>13</v>
      </c>
      <c r="B142" s="14" t="s">
        <v>25</v>
      </c>
      <c r="C142" s="15" t="str">
        <f>"5/2012-B-CANON-289"</f>
        <v>5/2012-B-CANON-289</v>
      </c>
      <c r="D142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42" s="16">
        <v>42359</v>
      </c>
      <c r="F142" s="22">
        <v>42510</v>
      </c>
      <c r="G142" s="13">
        <v>5326</v>
      </c>
      <c r="H142" s="22">
        <v>42510</v>
      </c>
      <c r="I142" s="13">
        <v>0</v>
      </c>
      <c r="J142" s="13">
        <f t="shared" si="8"/>
        <v>0</v>
      </c>
      <c r="K142" s="6"/>
    </row>
    <row r="143" spans="1:11" ht="108" x14ac:dyDescent="0.25">
      <c r="A143" s="3">
        <v>14</v>
      </c>
      <c r="B143" s="14" t="s">
        <v>41</v>
      </c>
      <c r="C143" s="15" t="str">
        <f>"5/DUSJN-15-B"</f>
        <v>5/DUSJN-15-B</v>
      </c>
      <c r="D143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43" s="16">
        <v>42345</v>
      </c>
      <c r="F143" s="22">
        <v>42711</v>
      </c>
      <c r="G143" s="13">
        <v>38375</v>
      </c>
      <c r="H143" s="22">
        <v>42711</v>
      </c>
      <c r="I143" s="13">
        <v>1088</v>
      </c>
      <c r="J143" s="13">
        <f t="shared" si="8"/>
        <v>1360</v>
      </c>
      <c r="K143" s="6"/>
    </row>
    <row r="144" spans="1:11" ht="24" x14ac:dyDescent="0.25">
      <c r="A144" s="3">
        <v>15</v>
      </c>
      <c r="B144" s="14" t="s">
        <v>54</v>
      </c>
      <c r="C144" s="15" t="str">
        <f>"5/2012-B-15/27-18"</f>
        <v>5/2012-B-15/27-18</v>
      </c>
      <c r="D144" s="15" t="str">
        <f>CONCATENATE("DINARID D.O.O.")</f>
        <v>DINARID D.O.O.</v>
      </c>
      <c r="E144" s="16">
        <v>42338</v>
      </c>
      <c r="F144" s="22">
        <v>42460</v>
      </c>
      <c r="G144" s="13">
        <v>17725</v>
      </c>
      <c r="H144" s="22">
        <v>42460</v>
      </c>
      <c r="I144" s="13">
        <v>7090</v>
      </c>
      <c r="J144" s="13">
        <f t="shared" si="8"/>
        <v>8862.5</v>
      </c>
      <c r="K144" s="6"/>
    </row>
    <row r="145" spans="1:11" ht="108" x14ac:dyDescent="0.25">
      <c r="A145" s="3">
        <v>16</v>
      </c>
      <c r="B145" s="14" t="s">
        <v>91</v>
      </c>
      <c r="C145" s="15" t="str">
        <f>"U04/14-B"</f>
        <v>U04/14-B</v>
      </c>
      <c r="D145" s="15" t="str">
        <f t="shared" ref="D145:D153" si="10"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45" s="16">
        <v>42334</v>
      </c>
      <c r="F145" s="22">
        <v>42511</v>
      </c>
      <c r="G145" s="13">
        <v>8430</v>
      </c>
      <c r="H145" s="22">
        <v>42511</v>
      </c>
      <c r="I145" s="13">
        <v>816</v>
      </c>
      <c r="J145" s="13">
        <f t="shared" si="8"/>
        <v>1020</v>
      </c>
      <c r="K145" s="6"/>
    </row>
    <row r="146" spans="1:11" ht="108" x14ac:dyDescent="0.25">
      <c r="A146" s="3">
        <v>17</v>
      </c>
      <c r="B146" s="14" t="s">
        <v>42</v>
      </c>
      <c r="C146" s="15" t="str">
        <f>"SNUG-202-15-0069"</f>
        <v>SNUG-202-15-0069</v>
      </c>
      <c r="D146" s="15" t="str">
        <f t="shared" si="10"/>
        <v>1. Zajednica ponuditelja: 
    DINARID D.O.O.
    B.T.C. D.O.O.
2. Zajednica ponuditelja: 
    ZIT D.O.O.
    B.T.C. D.O.O.
3. MAKROMIKRO D.O.O.</v>
      </c>
      <c r="E146" s="16">
        <v>42324</v>
      </c>
      <c r="F146" s="22">
        <v>42369</v>
      </c>
      <c r="G146" s="13">
        <v>200827</v>
      </c>
      <c r="H146" s="22">
        <v>42369</v>
      </c>
      <c r="I146" s="13">
        <v>200827</v>
      </c>
      <c r="J146" s="13">
        <f t="shared" si="8"/>
        <v>251033.75</v>
      </c>
      <c r="K146" s="6"/>
    </row>
    <row r="147" spans="1:11" ht="108" x14ac:dyDescent="0.25">
      <c r="A147" s="3">
        <v>18</v>
      </c>
      <c r="B147" s="14" t="s">
        <v>42</v>
      </c>
      <c r="C147" s="15" t="str">
        <f>"SNUG-202-15-045"</f>
        <v>SNUG-202-15-045</v>
      </c>
      <c r="D147" s="15" t="str">
        <f t="shared" si="10"/>
        <v>1. Zajednica ponuditelja: 
    DINARID D.O.O.
    B.T.C. D.O.O.
2. Zajednica ponuditelja: 
    ZIT D.O.O.
    B.T.C. D.O.O.
3. MAKROMIKRO D.O.O.</v>
      </c>
      <c r="E147" s="16">
        <v>42214</v>
      </c>
      <c r="F147" s="22">
        <v>42369</v>
      </c>
      <c r="G147" s="13">
        <v>138690</v>
      </c>
      <c r="H147" s="22">
        <v>42369</v>
      </c>
      <c r="I147" s="13">
        <v>137331.93</v>
      </c>
      <c r="J147" s="13">
        <f t="shared" si="8"/>
        <v>171664.91249999998</v>
      </c>
      <c r="K147" s="6"/>
    </row>
    <row r="148" spans="1:11" ht="108" x14ac:dyDescent="0.25">
      <c r="A148" s="3">
        <v>19</v>
      </c>
      <c r="B148" s="14" t="s">
        <v>29</v>
      </c>
      <c r="C148" s="15" t="str">
        <f>"5/2012-B-CANON-282"</f>
        <v>5/2012-B-CANON-282</v>
      </c>
      <c r="D148" s="15" t="str">
        <f t="shared" si="10"/>
        <v>1. Zajednica ponuditelja: 
    DINARID D.O.O.
    B.T.C. D.O.O.
2. Zajednica ponuditelja: 
    ZIT D.O.O.
    B.T.C. D.O.O.
3. MAKROMIKRO D.O.O.</v>
      </c>
      <c r="E148" s="16">
        <v>42208</v>
      </c>
      <c r="F148" s="22">
        <v>42511</v>
      </c>
      <c r="G148" s="13">
        <v>42380</v>
      </c>
      <c r="H148" s="22">
        <v>42511</v>
      </c>
      <c r="I148" s="13">
        <v>14165</v>
      </c>
      <c r="J148" s="13">
        <f t="shared" si="8"/>
        <v>17706.25</v>
      </c>
      <c r="K148" s="6"/>
    </row>
    <row r="149" spans="1:11" ht="108" x14ac:dyDescent="0.25">
      <c r="A149" s="3">
        <v>20</v>
      </c>
      <c r="B149" s="14" t="s">
        <v>35</v>
      </c>
      <c r="C149" s="15" t="str">
        <f>"123/2015"</f>
        <v>123/2015</v>
      </c>
      <c r="D149" s="15" t="str">
        <f t="shared" si="10"/>
        <v>1. Zajednica ponuditelja: 
    DINARID D.O.O.
    B.T.C. D.O.O.
2. Zajednica ponuditelja: 
    ZIT D.O.O.
    B.T.C. D.O.O.
3. MAKROMIKRO D.O.O.</v>
      </c>
      <c r="E149" s="16">
        <v>42179</v>
      </c>
      <c r="F149" s="22">
        <v>42511</v>
      </c>
      <c r="G149" s="13">
        <v>84242</v>
      </c>
      <c r="H149" s="22">
        <v>42511</v>
      </c>
      <c r="I149" s="13">
        <v>53780</v>
      </c>
      <c r="J149" s="13">
        <f t="shared" si="8"/>
        <v>67225</v>
      </c>
      <c r="K149" s="6"/>
    </row>
    <row r="150" spans="1:11" ht="108" x14ac:dyDescent="0.25">
      <c r="A150" s="3">
        <v>21</v>
      </c>
      <c r="B150" s="14" t="s">
        <v>59</v>
      </c>
      <c r="C150" s="15" t="str">
        <f>"000282/2015"</f>
        <v>000282/2015</v>
      </c>
      <c r="D150" s="15" t="str">
        <f t="shared" si="10"/>
        <v>1. Zajednica ponuditelja: 
    DINARID D.O.O.
    B.T.C. D.O.O.
2. Zajednica ponuditelja: 
    ZIT D.O.O.
    B.T.C. D.O.O.
3. MAKROMIKRO D.O.O.</v>
      </c>
      <c r="E150" s="16">
        <v>42164</v>
      </c>
      <c r="F150" s="22">
        <v>42511</v>
      </c>
      <c r="G150" s="13">
        <v>4080</v>
      </c>
      <c r="H150" s="22">
        <v>42511</v>
      </c>
      <c r="I150" s="13">
        <v>0</v>
      </c>
      <c r="J150" s="13">
        <f t="shared" si="8"/>
        <v>0</v>
      </c>
      <c r="K150" s="6"/>
    </row>
    <row r="151" spans="1:11" ht="108" x14ac:dyDescent="0.25">
      <c r="A151" s="3">
        <v>22</v>
      </c>
      <c r="B151" s="14" t="s">
        <v>39</v>
      </c>
      <c r="C151" s="15" t="str">
        <f>"21/2015"</f>
        <v>21/2015</v>
      </c>
      <c r="D151" s="15" t="str">
        <f t="shared" si="10"/>
        <v>1. Zajednica ponuditelja: 
    DINARID D.O.O.
    B.T.C. D.O.O.
2. Zajednica ponuditelja: 
    ZIT D.O.O.
    B.T.C. D.O.O.
3. MAKROMIKRO D.O.O.</v>
      </c>
      <c r="E151" s="16">
        <v>42142</v>
      </c>
      <c r="F151" s="22">
        <v>42508</v>
      </c>
      <c r="G151" s="13">
        <v>18993</v>
      </c>
      <c r="H151" s="22">
        <v>42508</v>
      </c>
      <c r="I151" s="13">
        <v>10440</v>
      </c>
      <c r="J151" s="13">
        <f t="shared" si="8"/>
        <v>13050</v>
      </c>
      <c r="K151" s="6"/>
    </row>
    <row r="152" spans="1:11" ht="108" x14ac:dyDescent="0.25">
      <c r="A152" s="3">
        <v>23</v>
      </c>
      <c r="B152" s="14" t="s">
        <v>42</v>
      </c>
      <c r="C152" s="15" t="str">
        <f>"SNUG-202-15-0037-1-B"</f>
        <v>SNUG-202-15-0037-1-B</v>
      </c>
      <c r="D152" s="15" t="str">
        <f t="shared" si="10"/>
        <v>1. Zajednica ponuditelja: 
    DINARID D.O.O.
    B.T.C. D.O.O.
2. Zajednica ponuditelja: 
    ZIT D.O.O.
    B.T.C. D.O.O.
3. MAKROMIKRO D.O.O.</v>
      </c>
      <c r="E152" s="16">
        <v>42130</v>
      </c>
      <c r="F152" s="22">
        <v>42191</v>
      </c>
      <c r="G152" s="13">
        <v>148602.5</v>
      </c>
      <c r="H152" s="22">
        <v>42191</v>
      </c>
      <c r="I152" s="13">
        <v>147377.56</v>
      </c>
      <c r="J152" s="13">
        <f t="shared" si="8"/>
        <v>184221.95</v>
      </c>
      <c r="K152" s="6"/>
    </row>
    <row r="153" spans="1:11" ht="108" x14ac:dyDescent="0.25">
      <c r="A153" s="3">
        <v>24</v>
      </c>
      <c r="B153" s="14" t="s">
        <v>30</v>
      </c>
      <c r="C153" s="15" t="str">
        <f>"510/7.A-A-0019/15-90"</f>
        <v>510/7.A-A-0019/15-90</v>
      </c>
      <c r="D153" s="15" t="str">
        <f t="shared" si="10"/>
        <v>1. Zajednica ponuditelja: 
    DINARID D.O.O.
    B.T.C. D.O.O.
2. Zajednica ponuditelja: 
    ZIT D.O.O.
    B.T.C. D.O.O.
3. MAKROMIKRO D.O.O.</v>
      </c>
      <c r="E153" s="16">
        <v>42110</v>
      </c>
      <c r="F153" s="22">
        <v>42476</v>
      </c>
      <c r="G153" s="13">
        <v>6982</v>
      </c>
      <c r="H153" s="22">
        <v>42476</v>
      </c>
      <c r="I153" s="13">
        <v>522</v>
      </c>
      <c r="J153" s="13">
        <f t="shared" si="8"/>
        <v>652.5</v>
      </c>
      <c r="K153" s="6"/>
    </row>
    <row r="154" spans="1:11" ht="24" x14ac:dyDescent="0.25">
      <c r="A154" s="3">
        <v>25</v>
      </c>
      <c r="B154" s="14" t="s">
        <v>54</v>
      </c>
      <c r="C154" s="15" t="str">
        <f>"5/2012-B-15/27-9"</f>
        <v>5/2012-B-15/27-9</v>
      </c>
      <c r="D154" s="15" t="str">
        <f>CONCATENATE("B.T.C. D.O.O.")</f>
        <v>B.T.C. D.O.O.</v>
      </c>
      <c r="E154" s="16">
        <v>42102</v>
      </c>
      <c r="F154" s="22">
        <v>42369</v>
      </c>
      <c r="G154" s="13">
        <v>6512</v>
      </c>
      <c r="H154" s="22">
        <v>42369</v>
      </c>
      <c r="I154" s="13">
        <v>6512</v>
      </c>
      <c r="J154" s="13">
        <f t="shared" si="8"/>
        <v>8140</v>
      </c>
      <c r="K154" s="6"/>
    </row>
    <row r="155" spans="1:11" ht="108" x14ac:dyDescent="0.25">
      <c r="A155" s="3">
        <v>26</v>
      </c>
      <c r="B155" s="14" t="s">
        <v>53</v>
      </c>
      <c r="C155" s="15" t="str">
        <f>"5/2012-B-CANON-265"</f>
        <v>5/2012-B-CANON-265</v>
      </c>
      <c r="D155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55" s="16">
        <v>42095</v>
      </c>
      <c r="F155" s="22">
        <v>42369</v>
      </c>
      <c r="G155" s="13">
        <v>29850</v>
      </c>
      <c r="H155" s="22">
        <v>42369</v>
      </c>
      <c r="I155" s="13">
        <v>0</v>
      </c>
      <c r="J155" s="13">
        <f t="shared" si="8"/>
        <v>0</v>
      </c>
      <c r="K155" s="6"/>
    </row>
    <row r="156" spans="1:11" ht="108" x14ac:dyDescent="0.25">
      <c r="A156" s="3">
        <v>27</v>
      </c>
      <c r="B156" s="14" t="s">
        <v>42</v>
      </c>
      <c r="C156" s="15" t="str">
        <f>"SNUG-202-15-0010"</f>
        <v>SNUG-202-15-0010</v>
      </c>
      <c r="D156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56" s="16">
        <v>42074</v>
      </c>
      <c r="F156" s="22">
        <v>42135</v>
      </c>
      <c r="G156" s="13">
        <v>128114.2</v>
      </c>
      <c r="H156" s="22">
        <v>42135</v>
      </c>
      <c r="I156" s="13">
        <v>128114.22</v>
      </c>
      <c r="J156" s="13">
        <f t="shared" si="8"/>
        <v>160142.77499999999</v>
      </c>
      <c r="K156" s="6"/>
    </row>
    <row r="157" spans="1:11" ht="108" x14ac:dyDescent="0.25">
      <c r="A157" s="3">
        <v>28</v>
      </c>
      <c r="B157" s="14" t="s">
        <v>62</v>
      </c>
      <c r="C157" s="15" t="str">
        <f>"5/2012-B-CANON-252"</f>
        <v>5/2012-B-CANON-252</v>
      </c>
      <c r="D157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57" s="16">
        <v>42062</v>
      </c>
      <c r="F157" s="22">
        <v>42369</v>
      </c>
      <c r="G157" s="13">
        <v>98330</v>
      </c>
      <c r="H157" s="22">
        <v>42369</v>
      </c>
      <c r="I157" s="13">
        <v>98030</v>
      </c>
      <c r="J157" s="13">
        <f t="shared" si="8"/>
        <v>122537.5</v>
      </c>
      <c r="K157" s="6"/>
    </row>
    <row r="158" spans="1:11" ht="108" x14ac:dyDescent="0.25">
      <c r="A158" s="3">
        <v>29</v>
      </c>
      <c r="B158" s="14" t="s">
        <v>26</v>
      </c>
      <c r="C158" s="15" t="str">
        <f>"30-2015"</f>
        <v>30-2015</v>
      </c>
      <c r="D158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58" s="16">
        <v>42039</v>
      </c>
      <c r="F158" s="22">
        <v>42369</v>
      </c>
      <c r="G158" s="13">
        <v>9753</v>
      </c>
      <c r="H158" s="22">
        <v>42369</v>
      </c>
      <c r="I158" s="13">
        <v>5010</v>
      </c>
      <c r="J158" s="13">
        <f t="shared" si="8"/>
        <v>6262.5</v>
      </c>
      <c r="K158" s="6"/>
    </row>
    <row r="159" spans="1:11" ht="108" x14ac:dyDescent="0.25">
      <c r="A159" s="3">
        <v>30</v>
      </c>
      <c r="B159" s="14" t="s">
        <v>25</v>
      </c>
      <c r="C159" s="15" t="str">
        <f>"5/2012-B-CANON-238"</f>
        <v>5/2012-B-CANON-238</v>
      </c>
      <c r="D159" s="15" t="str">
        <f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59" s="16">
        <v>42011</v>
      </c>
      <c r="F159" s="22">
        <v>42369</v>
      </c>
      <c r="G159" s="13">
        <v>5326</v>
      </c>
      <c r="H159" s="22">
        <v>42369</v>
      </c>
      <c r="I159" s="13">
        <v>5182</v>
      </c>
      <c r="J159" s="13">
        <f t="shared" si="8"/>
        <v>6477.5</v>
      </c>
      <c r="K159" s="6"/>
    </row>
    <row r="160" spans="1:11" ht="36" x14ac:dyDescent="0.25">
      <c r="A160" s="3">
        <v>31</v>
      </c>
      <c r="B160" s="14" t="s">
        <v>34</v>
      </c>
      <c r="C160" s="15" t="str">
        <f>"NAR/2015-B"</f>
        <v>NAR/2015-B</v>
      </c>
      <c r="D160" s="15" t="str">
        <f>CONCATENATE("DINARID D.O.O.")</f>
        <v>DINARID D.O.O.</v>
      </c>
      <c r="E160" s="16">
        <v>42005</v>
      </c>
      <c r="F160" s="22">
        <v>42369</v>
      </c>
      <c r="G160" s="13">
        <v>50020</v>
      </c>
      <c r="H160" s="22">
        <v>42369</v>
      </c>
      <c r="I160" s="13">
        <v>50020</v>
      </c>
      <c r="J160" s="13">
        <f t="shared" si="8"/>
        <v>62525</v>
      </c>
      <c r="K160" s="6"/>
    </row>
    <row r="161" spans="1:11" ht="24" x14ac:dyDescent="0.25">
      <c r="A161" s="3">
        <v>32</v>
      </c>
      <c r="B161" s="14" t="s">
        <v>61</v>
      </c>
      <c r="C161" s="15" t="str">
        <f>"5/2012-B"</f>
        <v>5/2012-B</v>
      </c>
      <c r="D161" s="15" t="str">
        <f>CONCATENATE("DINARID D.O.O.")</f>
        <v>DINARID D.O.O.</v>
      </c>
      <c r="E161" s="16">
        <v>42005</v>
      </c>
      <c r="F161" s="22">
        <v>42369</v>
      </c>
      <c r="G161" s="13">
        <v>1639</v>
      </c>
      <c r="H161" s="22">
        <v>42369</v>
      </c>
      <c r="I161" s="13">
        <v>1639</v>
      </c>
      <c r="J161" s="13">
        <f t="shared" si="8"/>
        <v>2048.75</v>
      </c>
      <c r="K161" s="6"/>
    </row>
    <row r="162" spans="1:11" ht="108" x14ac:dyDescent="0.25">
      <c r="A162" s="3">
        <v>33</v>
      </c>
      <c r="B162" s="14" t="s">
        <v>27</v>
      </c>
      <c r="C162" s="15" t="str">
        <f>"5/2012-B-CANON-237"</f>
        <v>5/2012-B-CANON-237</v>
      </c>
      <c r="D162" s="15" t="str">
        <f t="shared" ref="D162:D169" si="11">CONCATENATE("1. Zajednica ponuditelja: ",CHAR(10),"    DINARID D.O.O.",CHAR(10),"    B.T.C. D.O.O.",CHAR(10),"2. Zajednica ponuditelja: ",CHAR(10),"    ZIT D.O.O.",CHAR(10),"    B.T.C. D.O.O.",CHAR(10),"3. MAKROMIKRO D.O.O.")</f>
        <v>1. Zajednica ponuditelja: 
    DINARID D.O.O.
    B.T.C. D.O.O.
2. Zajednica ponuditelja: 
    ZIT D.O.O.
    B.T.C. D.O.O.
3. MAKROMIKRO D.O.O.</v>
      </c>
      <c r="E162" s="16">
        <v>41996</v>
      </c>
      <c r="F162" s="22">
        <v>42361</v>
      </c>
      <c r="G162" s="13">
        <v>1120678</v>
      </c>
      <c r="H162" s="22">
        <v>42361</v>
      </c>
      <c r="I162" s="13">
        <v>491892</v>
      </c>
      <c r="J162" s="13">
        <f t="shared" si="8"/>
        <v>614865</v>
      </c>
      <c r="K162" s="6"/>
    </row>
    <row r="163" spans="1:11" ht="108" x14ac:dyDescent="0.25">
      <c r="A163" s="3">
        <v>34</v>
      </c>
      <c r="B163" s="14" t="s">
        <v>44</v>
      </c>
      <c r="C163" s="15" t="str">
        <f>"5/2012-B-CANON-240"</f>
        <v>5/2012-B-CANON-240</v>
      </c>
      <c r="D163" s="15" t="str">
        <f t="shared" si="11"/>
        <v>1. Zajednica ponuditelja: 
    DINARID D.O.O.
    B.T.C. D.O.O.
2. Zajednica ponuditelja: 
    ZIT D.O.O.
    B.T.C. D.O.O.
3. MAKROMIKRO D.O.O.</v>
      </c>
      <c r="E163" s="16">
        <v>41977</v>
      </c>
      <c r="F163" s="22">
        <v>42342</v>
      </c>
      <c r="G163" s="13">
        <v>350990</v>
      </c>
      <c r="H163" s="22">
        <v>42342</v>
      </c>
      <c r="I163" s="13">
        <v>160659</v>
      </c>
      <c r="J163" s="13">
        <f t="shared" si="8"/>
        <v>200823.75</v>
      </c>
      <c r="K163" s="6"/>
    </row>
    <row r="164" spans="1:11" ht="108" x14ac:dyDescent="0.25">
      <c r="A164" s="3">
        <v>35</v>
      </c>
      <c r="B164" s="14" t="s">
        <v>41</v>
      </c>
      <c r="C164" s="15" t="str">
        <f>"5/DUSJN-14-B"</f>
        <v>5/DUSJN-14-B</v>
      </c>
      <c r="D164" s="15" t="str">
        <f t="shared" si="11"/>
        <v>1. Zajednica ponuditelja: 
    DINARID D.O.O.
    B.T.C. D.O.O.
2. Zajednica ponuditelja: 
    ZIT D.O.O.
    B.T.C. D.O.O.
3. MAKROMIKRO D.O.O.</v>
      </c>
      <c r="E164" s="16">
        <v>41974</v>
      </c>
      <c r="F164" s="22">
        <v>42339</v>
      </c>
      <c r="G164" s="13">
        <v>70155</v>
      </c>
      <c r="H164" s="22">
        <v>42339</v>
      </c>
      <c r="I164" s="13">
        <v>19477</v>
      </c>
      <c r="J164" s="13">
        <f t="shared" si="8"/>
        <v>24346.25</v>
      </c>
      <c r="K164" s="6"/>
    </row>
    <row r="165" spans="1:11" ht="108" x14ac:dyDescent="0.25">
      <c r="A165" s="3">
        <v>36</v>
      </c>
      <c r="B165" s="14" t="s">
        <v>36</v>
      </c>
      <c r="C165" s="15" t="str">
        <f>"5/2012-B-CANON-172"</f>
        <v>5/2012-B-CANON-172</v>
      </c>
      <c r="D165" s="15" t="str">
        <f t="shared" si="11"/>
        <v>1. Zajednica ponuditelja: 
    DINARID D.O.O.
    B.T.C. D.O.O.
2. Zajednica ponuditelja: 
    ZIT D.O.O.
    B.T.C. D.O.O.
3. MAKROMIKRO D.O.O.</v>
      </c>
      <c r="E165" s="16">
        <v>41869</v>
      </c>
      <c r="F165" s="22">
        <v>42511</v>
      </c>
      <c r="G165" s="13">
        <v>34158</v>
      </c>
      <c r="H165" s="22">
        <v>42511</v>
      </c>
      <c r="I165" s="13">
        <v>5750</v>
      </c>
      <c r="J165" s="13">
        <f t="shared" si="8"/>
        <v>7187.5</v>
      </c>
      <c r="K165" s="6"/>
    </row>
    <row r="166" spans="1:11" ht="108" x14ac:dyDescent="0.25">
      <c r="A166" s="3">
        <v>37</v>
      </c>
      <c r="B166" s="14" t="s">
        <v>29</v>
      </c>
      <c r="C166" s="15" t="str">
        <f>"5/2012-B-CANON-165"</f>
        <v>5/2012-B-CANON-165</v>
      </c>
      <c r="D166" s="15" t="str">
        <f t="shared" si="11"/>
        <v>1. Zajednica ponuditelja: 
    DINARID D.O.O.
    B.T.C. D.O.O.
2. Zajednica ponuditelja: 
    ZIT D.O.O.
    B.T.C. D.O.O.
3. MAKROMIKRO D.O.O.</v>
      </c>
      <c r="E166" s="16">
        <v>41845</v>
      </c>
      <c r="F166" s="22">
        <v>42210</v>
      </c>
      <c r="G166" s="13">
        <v>39196</v>
      </c>
      <c r="H166" s="22">
        <v>42210</v>
      </c>
      <c r="I166" s="13">
        <v>14165</v>
      </c>
      <c r="J166" s="13">
        <f t="shared" si="8"/>
        <v>17706.25</v>
      </c>
      <c r="K166" s="6"/>
    </row>
    <row r="167" spans="1:11" ht="108" x14ac:dyDescent="0.25">
      <c r="A167" s="3">
        <v>38</v>
      </c>
      <c r="B167" s="14" t="s">
        <v>35</v>
      </c>
      <c r="C167" s="15" t="str">
        <f>"181/2014"</f>
        <v>181/2014</v>
      </c>
      <c r="D167" s="15" t="str">
        <f t="shared" si="11"/>
        <v>1. Zajednica ponuditelja: 
    DINARID D.O.O.
    B.T.C. D.O.O.
2. Zajednica ponuditelja: 
    ZIT D.O.O.
    B.T.C. D.O.O.
3. MAKROMIKRO D.O.O.</v>
      </c>
      <c r="E167" s="16">
        <v>41820</v>
      </c>
      <c r="F167" s="22">
        <v>42185</v>
      </c>
      <c r="G167" s="13">
        <v>87347</v>
      </c>
      <c r="H167" s="22">
        <v>42185</v>
      </c>
      <c r="I167" s="13">
        <v>52988</v>
      </c>
      <c r="J167" s="13">
        <f t="shared" si="8"/>
        <v>66235</v>
      </c>
      <c r="K167" s="6"/>
    </row>
    <row r="168" spans="1:11" ht="108" x14ac:dyDescent="0.25">
      <c r="A168" s="3">
        <v>39</v>
      </c>
      <c r="B168" s="14" t="s">
        <v>39</v>
      </c>
      <c r="C168" s="15" t="str">
        <f>"2/14"</f>
        <v>2/14</v>
      </c>
      <c r="D168" s="15" t="str">
        <f t="shared" si="11"/>
        <v>1. Zajednica ponuditelja: 
    DINARID D.O.O.
    B.T.C. D.O.O.
2. Zajednica ponuditelja: 
    ZIT D.O.O.
    B.T.C. D.O.O.
3. MAKROMIKRO D.O.O.</v>
      </c>
      <c r="E168" s="16">
        <v>41641</v>
      </c>
      <c r="F168" s="22">
        <v>42006</v>
      </c>
      <c r="G168" s="13">
        <v>27326</v>
      </c>
      <c r="H168" s="22">
        <v>42006</v>
      </c>
      <c r="I168" s="13">
        <v>27283.200000000001</v>
      </c>
      <c r="J168" s="13">
        <f t="shared" si="8"/>
        <v>34104</v>
      </c>
      <c r="K168" s="6"/>
    </row>
    <row r="169" spans="1:11" ht="108" x14ac:dyDescent="0.25">
      <c r="A169" s="3">
        <v>40</v>
      </c>
      <c r="B169" s="14" t="s">
        <v>55</v>
      </c>
      <c r="C169" s="15" t="str">
        <f>"32-112-13(5/2012-B)-5"</f>
        <v>32-112-13(5/2012-B)-5</v>
      </c>
      <c r="D169" s="15" t="str">
        <f t="shared" si="11"/>
        <v>1. Zajednica ponuditelja: 
    DINARID D.O.O.
    B.T.C. D.O.O.
2. Zajednica ponuditelja: 
    ZIT D.O.O.
    B.T.C. D.O.O.
3. MAKROMIKRO D.O.O.</v>
      </c>
      <c r="E169" s="16">
        <v>41499</v>
      </c>
      <c r="F169" s="22">
        <v>42511</v>
      </c>
      <c r="G169" s="13">
        <v>153832</v>
      </c>
      <c r="H169" s="22">
        <v>42511</v>
      </c>
      <c r="I169" s="13">
        <v>20157</v>
      </c>
      <c r="J169" s="13">
        <f t="shared" si="8"/>
        <v>25196.25</v>
      </c>
      <c r="K169" s="6"/>
    </row>
    <row r="170" spans="1:11" ht="7.5" customHeight="1" x14ac:dyDescent="0.25"/>
    <row r="171" spans="1:11" ht="42" customHeight="1" x14ac:dyDescent="0.25">
      <c r="A171" s="1" t="s">
        <v>0</v>
      </c>
      <c r="B171" s="2" t="s">
        <v>1</v>
      </c>
      <c r="C171" s="2" t="s">
        <v>6</v>
      </c>
      <c r="D171" s="2" t="s">
        <v>2</v>
      </c>
      <c r="E171" s="2" t="s">
        <v>3</v>
      </c>
      <c r="F171" s="2" t="s">
        <v>7</v>
      </c>
      <c r="G171" s="2" t="s">
        <v>8</v>
      </c>
      <c r="H171" s="2" t="s">
        <v>4</v>
      </c>
      <c r="I171" s="2" t="s">
        <v>5</v>
      </c>
    </row>
    <row r="172" spans="1:11" x14ac:dyDescent="0.25">
      <c r="A172" s="3">
        <v>1</v>
      </c>
      <c r="B172" s="6" t="s">
        <v>661</v>
      </c>
      <c r="C172" s="3" t="s">
        <v>140</v>
      </c>
      <c r="D172" s="3" t="s">
        <v>686</v>
      </c>
      <c r="E172" s="3" t="s">
        <v>24</v>
      </c>
      <c r="F172" s="21">
        <v>41302</v>
      </c>
      <c r="G172" s="3" t="s">
        <v>116</v>
      </c>
      <c r="H172" s="7">
        <v>20000000</v>
      </c>
      <c r="I172" s="7">
        <v>19732615.670000002</v>
      </c>
    </row>
    <row r="173" spans="1:11" x14ac:dyDescent="0.25">
      <c r="A173" s="42" t="s">
        <v>706</v>
      </c>
      <c r="B173" s="43"/>
      <c r="C173" s="43"/>
      <c r="D173" s="43"/>
      <c r="E173" s="43"/>
      <c r="F173" s="43"/>
      <c r="G173" s="43"/>
      <c r="H173" s="44"/>
      <c r="I173" s="7">
        <v>6317830.4199999999</v>
      </c>
    </row>
    <row r="174" spans="1:11" ht="7.5" customHeight="1" x14ac:dyDescent="0.25"/>
    <row r="175" spans="1:11" x14ac:dyDescent="0.25">
      <c r="A175" s="46" t="s">
        <v>20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1:11" ht="63.75" customHeight="1" x14ac:dyDescent="0.25">
      <c r="A176" s="4" t="s">
        <v>0</v>
      </c>
      <c r="B176" s="5" t="s">
        <v>10</v>
      </c>
      <c r="C176" s="5" t="s">
        <v>9</v>
      </c>
      <c r="D176" s="5" t="s">
        <v>13</v>
      </c>
      <c r="E176" s="5" t="s">
        <v>12</v>
      </c>
      <c r="F176" s="5" t="s">
        <v>11</v>
      </c>
      <c r="G176" s="5" t="s">
        <v>18</v>
      </c>
      <c r="H176" s="5" t="s">
        <v>14</v>
      </c>
      <c r="I176" s="5" t="s">
        <v>15</v>
      </c>
      <c r="J176" s="5" t="s">
        <v>16</v>
      </c>
      <c r="K176" s="5" t="s">
        <v>17</v>
      </c>
    </row>
    <row r="177" spans="1:11" x14ac:dyDescent="0.25">
      <c r="A177" s="3">
        <v>1</v>
      </c>
      <c r="B177" s="14" t="s">
        <v>82</v>
      </c>
      <c r="C177" s="15" t="str">
        <f>"NAR/2015-HS-C"</f>
        <v>NAR/2015-HS-C</v>
      </c>
      <c r="D177" s="15" t="str">
        <f>CONCATENATE("BIRODOM D.O.O.")</f>
        <v>BIRODOM D.O.O.</v>
      </c>
      <c r="E177" s="16">
        <v>42005</v>
      </c>
      <c r="F177" s="22">
        <v>42369</v>
      </c>
      <c r="G177" s="13">
        <v>59721</v>
      </c>
      <c r="H177" s="22">
        <v>42369</v>
      </c>
      <c r="I177" s="13">
        <v>59721</v>
      </c>
      <c r="J177" s="13">
        <f>I177*1.25</f>
        <v>74651.25</v>
      </c>
      <c r="K177" s="6"/>
    </row>
    <row r="178" spans="1:11" ht="36" x14ac:dyDescent="0.25">
      <c r="A178" s="3">
        <v>2</v>
      </c>
      <c r="B178" s="14" t="s">
        <v>34</v>
      </c>
      <c r="C178" s="15" t="str">
        <f>"NAR/2015-C"</f>
        <v>NAR/2015-C</v>
      </c>
      <c r="D178" s="15" t="str">
        <f>CONCATENATE("BIRODOM D.O.O.")</f>
        <v>BIRODOM D.O.O.</v>
      </c>
      <c r="E178" s="16">
        <v>42005</v>
      </c>
      <c r="F178" s="22">
        <v>42369</v>
      </c>
      <c r="G178" s="13">
        <v>24080</v>
      </c>
      <c r="H178" s="22">
        <v>42369</v>
      </c>
      <c r="I178" s="13">
        <v>24080</v>
      </c>
      <c r="J178" s="13">
        <f t="shared" ref="J178:J217" si="12">I178*1.25</f>
        <v>30100</v>
      </c>
      <c r="K178" s="6"/>
    </row>
    <row r="179" spans="1:11" ht="24" x14ac:dyDescent="0.25">
      <c r="A179" s="3">
        <v>3</v>
      </c>
      <c r="B179" s="14" t="s">
        <v>28</v>
      </c>
      <c r="C179" s="15" t="str">
        <f>"MGPU 5/2012-C"</f>
        <v>MGPU 5/2012-C</v>
      </c>
      <c r="D179" s="15" t="str">
        <f>CONCATENATE("STUBLIĆ IMPEX D.O.O.")</f>
        <v>STUBLIĆ IMPEX D.O.O.</v>
      </c>
      <c r="E179" s="16">
        <v>42006</v>
      </c>
      <c r="F179" s="22">
        <v>42369</v>
      </c>
      <c r="G179" s="13">
        <v>11179</v>
      </c>
      <c r="H179" s="22">
        <v>42369</v>
      </c>
      <c r="I179" s="13">
        <v>0</v>
      </c>
      <c r="J179" s="13">
        <f t="shared" si="12"/>
        <v>0</v>
      </c>
      <c r="K179" s="6"/>
    </row>
    <row r="180" spans="1:11" x14ac:dyDescent="0.25">
      <c r="A180" s="3">
        <v>4</v>
      </c>
      <c r="B180" s="14" t="s">
        <v>49</v>
      </c>
      <c r="C180" s="15" t="str">
        <f>"25/2015"</f>
        <v>25/2015</v>
      </c>
      <c r="D180" s="15" t="str">
        <f>CONCATENATE("NARODNE NOVINE D.D.")</f>
        <v>NARODNE NOVINE D.D.</v>
      </c>
      <c r="E180" s="16">
        <v>42018</v>
      </c>
      <c r="F180" s="22"/>
      <c r="G180" s="13">
        <v>732.89</v>
      </c>
      <c r="H180" s="22"/>
      <c r="I180" s="13">
        <v>9702.2900000000009</v>
      </c>
      <c r="J180" s="13">
        <f t="shared" si="12"/>
        <v>12127.862500000001</v>
      </c>
      <c r="K180" s="6"/>
    </row>
    <row r="181" spans="1:11" ht="36" x14ac:dyDescent="0.25">
      <c r="A181" s="3">
        <v>5</v>
      </c>
      <c r="B181" s="14" t="s">
        <v>59</v>
      </c>
      <c r="C181" s="15" t="str">
        <f>"000186/2015"</f>
        <v>000186/2015</v>
      </c>
      <c r="D181" s="15" t="str">
        <f>CONCATENATE("STUBLIĆ IMPEX D.O.O.")</f>
        <v>STUBLIĆ IMPEX D.O.O.</v>
      </c>
      <c r="E181" s="16">
        <v>42115</v>
      </c>
      <c r="F181" s="22"/>
      <c r="G181" s="13">
        <v>34134</v>
      </c>
      <c r="H181" s="22"/>
      <c r="I181" s="13">
        <v>3194</v>
      </c>
      <c r="J181" s="13">
        <f t="shared" si="12"/>
        <v>3992.5</v>
      </c>
      <c r="K181" s="6"/>
    </row>
    <row r="182" spans="1:11" x14ac:dyDescent="0.25">
      <c r="A182" s="3">
        <v>6</v>
      </c>
      <c r="B182" s="14" t="s">
        <v>90</v>
      </c>
      <c r="C182" s="15" t="str">
        <f>"U-3-MV/14"</f>
        <v>U-3-MV/14</v>
      </c>
      <c r="D182" s="15" t="str">
        <f>CONCATENATE("STUBLIĆ IMPEX D.O.O.")</f>
        <v>STUBLIĆ IMPEX D.O.O.</v>
      </c>
      <c r="E182" s="16">
        <v>41690</v>
      </c>
      <c r="F182" s="22">
        <v>42063</v>
      </c>
      <c r="G182" s="13">
        <v>197435</v>
      </c>
      <c r="H182" s="22">
        <v>42063</v>
      </c>
      <c r="I182" s="13">
        <v>125527</v>
      </c>
      <c r="J182" s="13">
        <f t="shared" si="12"/>
        <v>156908.75</v>
      </c>
      <c r="K182" s="6"/>
    </row>
    <row r="183" spans="1:11" ht="24" x14ac:dyDescent="0.25">
      <c r="A183" s="3">
        <v>7</v>
      </c>
      <c r="B183" s="14" t="s">
        <v>45</v>
      </c>
      <c r="C183" s="15" t="str">
        <f>"5/2012-C-U3"</f>
        <v>5/2012-C-U3</v>
      </c>
      <c r="D183" s="15" t="str">
        <f>CONCATENATE("NARODNE NOVINE D.D.")</f>
        <v>NARODNE NOVINE D.D.</v>
      </c>
      <c r="E183" s="16">
        <v>42222</v>
      </c>
      <c r="F183" s="22">
        <v>42369</v>
      </c>
      <c r="G183" s="13">
        <v>4050</v>
      </c>
      <c r="H183" s="22">
        <v>42369</v>
      </c>
      <c r="I183" s="13">
        <v>0</v>
      </c>
      <c r="J183" s="13">
        <f t="shared" si="12"/>
        <v>0</v>
      </c>
      <c r="K183" s="6"/>
    </row>
    <row r="184" spans="1:11" ht="24" x14ac:dyDescent="0.25">
      <c r="A184" s="3">
        <v>8</v>
      </c>
      <c r="B184" s="14" t="s">
        <v>45</v>
      </c>
      <c r="C184" s="15" t="str">
        <f>"5/2012-C-U2"</f>
        <v>5/2012-C-U2</v>
      </c>
      <c r="D184" s="15" t="str">
        <f>CONCATENATE("NARODNE NOVINE D.D.")</f>
        <v>NARODNE NOVINE D.D.</v>
      </c>
      <c r="E184" s="16">
        <v>41926</v>
      </c>
      <c r="F184" s="22">
        <v>42369</v>
      </c>
      <c r="G184" s="13">
        <v>2430</v>
      </c>
      <c r="H184" s="22">
        <v>42369</v>
      </c>
      <c r="I184" s="13">
        <v>2430</v>
      </c>
      <c r="J184" s="13">
        <f t="shared" si="12"/>
        <v>3037.5</v>
      </c>
      <c r="K184" s="6"/>
    </row>
    <row r="185" spans="1:11" x14ac:dyDescent="0.25">
      <c r="A185" s="3">
        <v>9</v>
      </c>
      <c r="B185" s="14" t="s">
        <v>90</v>
      </c>
      <c r="C185" s="15" t="str">
        <f>"U-3-MV/15"</f>
        <v>U-3-MV/15</v>
      </c>
      <c r="D185" s="15" t="str">
        <f>CONCATENATE("BIRODOM D.O.O.")</f>
        <v>BIRODOM D.O.O.</v>
      </c>
      <c r="E185" s="16">
        <v>42074</v>
      </c>
      <c r="F185" s="22">
        <v>42397</v>
      </c>
      <c r="G185" s="13">
        <v>277234</v>
      </c>
      <c r="H185" s="22">
        <v>42397</v>
      </c>
      <c r="I185" s="13">
        <v>70613.8</v>
      </c>
      <c r="J185" s="13">
        <f t="shared" si="12"/>
        <v>88267.25</v>
      </c>
      <c r="K185" s="6"/>
    </row>
    <row r="186" spans="1:11" ht="120" x14ac:dyDescent="0.25">
      <c r="A186" s="3">
        <v>10</v>
      </c>
      <c r="B186" s="14" t="s">
        <v>41</v>
      </c>
      <c r="C186" s="15" t="str">
        <f>"5/DUSJN-15-C"</f>
        <v>5/DUSJN-15-C</v>
      </c>
      <c r="D186" s="15" t="str">
        <f t="shared" ref="D186:D203" si="13">CONCATENATE("1. Zajednica ponuditelja: ",CHAR(10),"    BIRODOM D.O.O.",CHAR(10),"    STUBLIĆ IMPEX D.O.O.",CHAR(10),"2. Zajednica ponuditelja: ",CHAR(10),"    NARODNE NOVINE D.D.",CHAR(10),"    ZVIBOR D.O.O.",CHAR(10),"3. LOST D.O.O.")</f>
        <v>1. Zajednica ponuditelja: 
    BIRODOM D.O.O.
    STUBLIĆ IMPEX D.O.O.
2. Zajednica ponuditelja: 
    NARODNE NOVINE D.D.
    ZVIBOR D.O.O.
3. LOST D.O.O.</v>
      </c>
      <c r="E186" s="16">
        <v>42345</v>
      </c>
      <c r="F186" s="22">
        <v>42711</v>
      </c>
      <c r="G186" s="13">
        <v>255158</v>
      </c>
      <c r="H186" s="22">
        <v>42711</v>
      </c>
      <c r="I186" s="13">
        <v>15548</v>
      </c>
      <c r="J186" s="13">
        <f t="shared" si="12"/>
        <v>19435</v>
      </c>
      <c r="K186" s="6"/>
    </row>
    <row r="187" spans="1:11" ht="120" x14ac:dyDescent="0.25">
      <c r="A187" s="3">
        <v>11</v>
      </c>
      <c r="B187" s="14" t="s">
        <v>42</v>
      </c>
      <c r="C187" s="15" t="str">
        <f>"SNUG-202-15-0070-1"</f>
        <v>SNUG-202-15-0070-1</v>
      </c>
      <c r="D187" s="15" t="str">
        <f t="shared" si="13"/>
        <v>1. Zajednica ponuditelja: 
    BIRODOM D.O.O.
    STUBLIĆ IMPEX D.O.O.
2. Zajednica ponuditelja: 
    NARODNE NOVINE D.D.
    ZVIBOR D.O.O.
3. LOST D.O.O.</v>
      </c>
      <c r="E187" s="16">
        <v>42324</v>
      </c>
      <c r="F187" s="22">
        <v>42369</v>
      </c>
      <c r="G187" s="13">
        <v>353809</v>
      </c>
      <c r="H187" s="22">
        <v>42369</v>
      </c>
      <c r="I187" s="13">
        <v>353809</v>
      </c>
      <c r="J187" s="13">
        <f t="shared" si="12"/>
        <v>442261.25</v>
      </c>
      <c r="K187" s="6"/>
    </row>
    <row r="188" spans="1:11" ht="120" x14ac:dyDescent="0.25">
      <c r="A188" s="3">
        <v>12</v>
      </c>
      <c r="B188" s="14" t="s">
        <v>42</v>
      </c>
      <c r="C188" s="15" t="str">
        <f>"SNUG-202-15-0011"</f>
        <v>SNUG-202-15-0011</v>
      </c>
      <c r="D188" s="15" t="str">
        <f t="shared" si="13"/>
        <v>1. Zajednica ponuditelja: 
    BIRODOM D.O.O.
    STUBLIĆ IMPEX D.O.O.
2. Zajednica ponuditelja: 
    NARODNE NOVINE D.D.
    ZVIBOR D.O.O.
3. LOST D.O.O.</v>
      </c>
      <c r="E188" s="16">
        <v>42334</v>
      </c>
      <c r="F188" s="22">
        <v>42141</v>
      </c>
      <c r="G188" s="13">
        <v>238514</v>
      </c>
      <c r="H188" s="22">
        <v>42141</v>
      </c>
      <c r="I188" s="13">
        <v>238405</v>
      </c>
      <c r="J188" s="13">
        <f t="shared" si="12"/>
        <v>298006.25</v>
      </c>
      <c r="K188" s="6"/>
    </row>
    <row r="189" spans="1:11" ht="120" x14ac:dyDescent="0.25">
      <c r="A189" s="3">
        <v>13</v>
      </c>
      <c r="B189" s="14" t="s">
        <v>33</v>
      </c>
      <c r="C189" s="15" t="str">
        <f>"5/2012-C-LEXMARK-285"</f>
        <v>5/2012-C-LEXMARK-285</v>
      </c>
      <c r="D189" s="15" t="str">
        <f t="shared" si="13"/>
        <v>1. Zajednica ponuditelja: 
    BIRODOM D.O.O.
    STUBLIĆ IMPEX D.O.O.
2. Zajednica ponuditelja: 
    NARODNE NOVINE D.D.
    ZVIBOR D.O.O.
3. LOST D.O.O.</v>
      </c>
      <c r="E189" s="16">
        <v>42299</v>
      </c>
      <c r="F189" s="22">
        <v>42665</v>
      </c>
      <c r="G189" s="13">
        <v>88048</v>
      </c>
      <c r="H189" s="22">
        <v>42665</v>
      </c>
      <c r="I189" s="13">
        <v>37857</v>
      </c>
      <c r="J189" s="13">
        <f t="shared" si="12"/>
        <v>47321.25</v>
      </c>
      <c r="K189" s="6"/>
    </row>
    <row r="190" spans="1:11" ht="120" x14ac:dyDescent="0.25">
      <c r="A190" s="3">
        <v>14</v>
      </c>
      <c r="B190" s="14" t="s">
        <v>42</v>
      </c>
      <c r="C190" s="15" t="str">
        <f>"SNUG-202-15-046-1"</f>
        <v>SNUG-202-15-046-1</v>
      </c>
      <c r="D190" s="15" t="str">
        <f t="shared" si="13"/>
        <v>1. Zajednica ponuditelja: 
    BIRODOM D.O.O.
    STUBLIĆ IMPEX D.O.O.
2. Zajednica ponuditelja: 
    NARODNE NOVINE D.D.
    ZVIBOR D.O.O.
3. LOST D.O.O.</v>
      </c>
      <c r="E190" s="16">
        <v>42219</v>
      </c>
      <c r="F190" s="22">
        <v>42369</v>
      </c>
      <c r="G190" s="13">
        <v>286486</v>
      </c>
      <c r="H190" s="22">
        <v>42369</v>
      </c>
      <c r="I190" s="13">
        <v>286486</v>
      </c>
      <c r="J190" s="13">
        <f t="shared" si="12"/>
        <v>358107.5</v>
      </c>
      <c r="K190" s="6"/>
    </row>
    <row r="191" spans="1:11" ht="120" x14ac:dyDescent="0.25">
      <c r="A191" s="3">
        <v>15</v>
      </c>
      <c r="B191" s="14" t="s">
        <v>29</v>
      </c>
      <c r="C191" s="15" t="str">
        <f>"5/2012-C-LEXMARK-282"</f>
        <v>5/2012-C-LEXMARK-282</v>
      </c>
      <c r="D191" s="15" t="str">
        <f t="shared" si="13"/>
        <v>1. Zajednica ponuditelja: 
    BIRODOM D.O.O.
    STUBLIĆ IMPEX D.O.O.
2. Zajednica ponuditelja: 
    NARODNE NOVINE D.D.
    ZVIBOR D.O.O.
3. LOST D.O.O.</v>
      </c>
      <c r="E191" s="16">
        <v>41837</v>
      </c>
      <c r="F191" s="22">
        <v>42202</v>
      </c>
      <c r="G191" s="13">
        <v>23271</v>
      </c>
      <c r="H191" s="22">
        <v>42202</v>
      </c>
      <c r="I191" s="13">
        <v>8738</v>
      </c>
      <c r="J191" s="13">
        <f t="shared" si="12"/>
        <v>10922.5</v>
      </c>
      <c r="K191" s="6"/>
    </row>
    <row r="192" spans="1:11" ht="120" x14ac:dyDescent="0.25">
      <c r="A192" s="3">
        <v>16</v>
      </c>
      <c r="B192" s="14" t="s">
        <v>39</v>
      </c>
      <c r="C192" s="15" t="str">
        <f>"20/15"</f>
        <v>20/15</v>
      </c>
      <c r="D192" s="15" t="str">
        <f t="shared" si="13"/>
        <v>1. Zajednica ponuditelja: 
    BIRODOM D.O.O.
    STUBLIĆ IMPEX D.O.O.
2. Zajednica ponuditelja: 
    NARODNE NOVINE D.D.
    ZVIBOR D.O.O.
3. LOST D.O.O.</v>
      </c>
      <c r="E192" s="16">
        <v>42144</v>
      </c>
      <c r="F192" s="22">
        <v>42510</v>
      </c>
      <c r="G192" s="13">
        <v>97955</v>
      </c>
      <c r="H192" s="22">
        <v>42510</v>
      </c>
      <c r="I192" s="13">
        <v>50795</v>
      </c>
      <c r="J192" s="13">
        <f t="shared" si="12"/>
        <v>63493.75</v>
      </c>
      <c r="K192" s="6"/>
    </row>
    <row r="193" spans="1:11" ht="120" x14ac:dyDescent="0.25">
      <c r="A193" s="3">
        <v>17</v>
      </c>
      <c r="B193" s="14" t="s">
        <v>42</v>
      </c>
      <c r="C193" s="15" t="str">
        <f>"SNUG-202-15-0038"</f>
        <v>SNUG-202-15-0038</v>
      </c>
      <c r="D193" s="15" t="str">
        <f t="shared" si="13"/>
        <v>1. Zajednica ponuditelja: 
    BIRODOM D.O.O.
    STUBLIĆ IMPEX D.O.O.
2. Zajednica ponuditelja: 
    NARODNE NOVINE D.D.
    ZVIBOR D.O.O.
3. LOST D.O.O.</v>
      </c>
      <c r="E193" s="16">
        <v>42135</v>
      </c>
      <c r="F193" s="22">
        <v>42196</v>
      </c>
      <c r="G193" s="13">
        <v>249511</v>
      </c>
      <c r="H193" s="22">
        <v>42196</v>
      </c>
      <c r="I193" s="13">
        <v>249511</v>
      </c>
      <c r="J193" s="13">
        <f t="shared" si="12"/>
        <v>311888.75</v>
      </c>
      <c r="K193" s="6"/>
    </row>
    <row r="194" spans="1:11" ht="120" x14ac:dyDescent="0.25">
      <c r="A194" s="3">
        <v>18</v>
      </c>
      <c r="B194" s="14" t="s">
        <v>35</v>
      </c>
      <c r="C194" s="15" t="str">
        <f>"91/15"</f>
        <v>91/15</v>
      </c>
      <c r="D194" s="15" t="str">
        <f t="shared" si="13"/>
        <v>1. Zajednica ponuditelja: 
    BIRODOM D.O.O.
    STUBLIĆ IMPEX D.O.O.
2. Zajednica ponuditelja: 
    NARODNE NOVINE D.D.
    ZVIBOR D.O.O.
3. LOST D.O.O.</v>
      </c>
      <c r="E194" s="16">
        <v>42132</v>
      </c>
      <c r="F194" s="22">
        <v>42490</v>
      </c>
      <c r="G194" s="13">
        <v>28475</v>
      </c>
      <c r="H194" s="22">
        <v>42490</v>
      </c>
      <c r="I194" s="13">
        <v>50110</v>
      </c>
      <c r="J194" s="13">
        <f t="shared" si="12"/>
        <v>62637.5</v>
      </c>
      <c r="K194" s="6"/>
    </row>
    <row r="195" spans="1:11" ht="120" x14ac:dyDescent="0.25">
      <c r="A195" s="3">
        <v>19</v>
      </c>
      <c r="B195" s="14" t="s">
        <v>36</v>
      </c>
      <c r="C195" s="15" t="str">
        <f>"5/2012-C-LEXMARK-267"</f>
        <v>5/2012-C-LEXMARK-267</v>
      </c>
      <c r="D195" s="15" t="str">
        <f t="shared" si="13"/>
        <v>1. Zajednica ponuditelja: 
    BIRODOM D.O.O.
    STUBLIĆ IMPEX D.O.O.
2. Zajednica ponuditelja: 
    NARODNE NOVINE D.D.
    ZVIBOR D.O.O.
3. LOST D.O.O.</v>
      </c>
      <c r="E195" s="16">
        <v>42114</v>
      </c>
      <c r="F195" s="22">
        <v>42397</v>
      </c>
      <c r="G195" s="13">
        <v>32674</v>
      </c>
      <c r="H195" s="22">
        <v>42397</v>
      </c>
      <c r="I195" s="13">
        <v>15695</v>
      </c>
      <c r="J195" s="13">
        <f t="shared" si="12"/>
        <v>19618.75</v>
      </c>
      <c r="K195" s="6"/>
    </row>
    <row r="196" spans="1:11" ht="120" x14ac:dyDescent="0.25">
      <c r="A196" s="3">
        <v>20</v>
      </c>
      <c r="B196" s="14" t="s">
        <v>30</v>
      </c>
      <c r="C196" s="15" t="str">
        <f>"510/7-A-A-0026/15-90"</f>
        <v>510/7-A-A-0026/15-90</v>
      </c>
      <c r="D196" s="15" t="str">
        <f t="shared" si="13"/>
        <v>1. Zajednica ponuditelja: 
    BIRODOM D.O.O.
    STUBLIĆ IMPEX D.O.O.
2. Zajednica ponuditelja: 
    NARODNE NOVINE D.D.
    ZVIBOR D.O.O.
3. LOST D.O.O.</v>
      </c>
      <c r="E196" s="16">
        <v>42110</v>
      </c>
      <c r="F196" s="22">
        <v>42476</v>
      </c>
      <c r="G196" s="13">
        <v>26650</v>
      </c>
      <c r="H196" s="22">
        <v>42476</v>
      </c>
      <c r="I196" s="13">
        <v>14671</v>
      </c>
      <c r="J196" s="13">
        <f t="shared" si="12"/>
        <v>18338.75</v>
      </c>
      <c r="K196" s="6"/>
    </row>
    <row r="197" spans="1:11" ht="120" x14ac:dyDescent="0.25">
      <c r="A197" s="3">
        <v>21</v>
      </c>
      <c r="B197" s="14" t="s">
        <v>54</v>
      </c>
      <c r="C197" s="15" t="str">
        <f>"5/2012-C-LEXMARK-266"</f>
        <v>5/2012-C-LEXMARK-266</v>
      </c>
      <c r="D197" s="15" t="str">
        <f t="shared" si="13"/>
        <v>1. Zajednica ponuditelja: 
    BIRODOM D.O.O.
    STUBLIĆ IMPEX D.O.O.
2. Zajednica ponuditelja: 
    NARODNE NOVINE D.D.
    ZVIBOR D.O.O.
3. LOST D.O.O.</v>
      </c>
      <c r="E197" s="16">
        <v>42104</v>
      </c>
      <c r="F197" s="22">
        <v>42369</v>
      </c>
      <c r="G197" s="13">
        <v>22577</v>
      </c>
      <c r="H197" s="22">
        <v>42369</v>
      </c>
      <c r="I197" s="13">
        <v>22577</v>
      </c>
      <c r="J197" s="13">
        <f t="shared" si="12"/>
        <v>28221.25</v>
      </c>
      <c r="K197" s="6"/>
    </row>
    <row r="198" spans="1:11" ht="120" x14ac:dyDescent="0.25">
      <c r="A198" s="3">
        <v>22</v>
      </c>
      <c r="B198" s="14" t="s">
        <v>53</v>
      </c>
      <c r="C198" s="15" t="str">
        <f>"5/2012-C-LEXMARK-262"</f>
        <v>5/2012-C-LEXMARK-262</v>
      </c>
      <c r="D198" s="15" t="str">
        <f t="shared" si="13"/>
        <v>1. Zajednica ponuditelja: 
    BIRODOM D.O.O.
    STUBLIĆ IMPEX D.O.O.
2. Zajednica ponuditelja: 
    NARODNE NOVINE D.D.
    ZVIBOR D.O.O.
3. LOST D.O.O.</v>
      </c>
      <c r="E198" s="16">
        <v>42089</v>
      </c>
      <c r="F198" s="22">
        <v>42369</v>
      </c>
      <c r="G198" s="13">
        <v>18796</v>
      </c>
      <c r="H198" s="22">
        <v>42369</v>
      </c>
      <c r="I198" s="13">
        <v>8043</v>
      </c>
      <c r="J198" s="13">
        <f t="shared" si="12"/>
        <v>10053.75</v>
      </c>
      <c r="K198" s="6"/>
    </row>
    <row r="199" spans="1:11" ht="120" x14ac:dyDescent="0.25">
      <c r="A199" s="3">
        <v>23</v>
      </c>
      <c r="B199" s="14" t="s">
        <v>27</v>
      </c>
      <c r="C199" s="15" t="str">
        <f>"5/2012-C-LEXMARK-253"</f>
        <v>5/2012-C-LEXMARK-253</v>
      </c>
      <c r="D199" s="15" t="str">
        <f t="shared" si="13"/>
        <v>1. Zajednica ponuditelja: 
    BIRODOM D.O.O.
    STUBLIĆ IMPEX D.O.O.
2. Zajednica ponuditelja: 
    NARODNE NOVINE D.D.
    ZVIBOR D.O.O.
3. LOST D.O.O.</v>
      </c>
      <c r="E199" s="16">
        <v>42067</v>
      </c>
      <c r="F199" s="22">
        <v>42397</v>
      </c>
      <c r="G199" s="13">
        <v>2317095</v>
      </c>
      <c r="H199" s="22">
        <v>42397</v>
      </c>
      <c r="I199" s="13">
        <v>1189171</v>
      </c>
      <c r="J199" s="13">
        <f t="shared" si="12"/>
        <v>1486463.75</v>
      </c>
      <c r="K199" s="6"/>
    </row>
    <row r="200" spans="1:11" ht="120" x14ac:dyDescent="0.25">
      <c r="A200" s="3">
        <v>24</v>
      </c>
      <c r="B200" s="14" t="s">
        <v>43</v>
      </c>
      <c r="C200" s="15" t="str">
        <f>"5/2012-C-LEXMARK-255"</f>
        <v>5/2012-C-LEXMARK-255</v>
      </c>
      <c r="D200" s="15" t="str">
        <f t="shared" si="13"/>
        <v>1. Zajednica ponuditelja: 
    BIRODOM D.O.O.
    STUBLIĆ IMPEX D.O.O.
2. Zajednica ponuditelja: 
    NARODNE NOVINE D.D.
    ZVIBOR D.O.O.
3. LOST D.O.O.</v>
      </c>
      <c r="E200" s="16">
        <v>42061</v>
      </c>
      <c r="F200" s="22">
        <v>42369</v>
      </c>
      <c r="G200" s="13">
        <v>152626.78</v>
      </c>
      <c r="H200" s="22">
        <v>42369</v>
      </c>
      <c r="I200" s="13">
        <v>137455.32999999999</v>
      </c>
      <c r="J200" s="13">
        <f t="shared" si="12"/>
        <v>171819.16249999998</v>
      </c>
      <c r="K200" s="6"/>
    </row>
    <row r="201" spans="1:11" ht="120" x14ac:dyDescent="0.25">
      <c r="A201" s="3">
        <v>25</v>
      </c>
      <c r="B201" s="14" t="s">
        <v>26</v>
      </c>
      <c r="C201" s="15" t="str">
        <f>"29-2015"</f>
        <v>29-2015</v>
      </c>
      <c r="D201" s="15" t="str">
        <f t="shared" si="13"/>
        <v>1. Zajednica ponuditelja: 
    BIRODOM D.O.O.
    STUBLIĆ IMPEX D.O.O.
2. Zajednica ponuditelja: 
    NARODNE NOVINE D.D.
    ZVIBOR D.O.O.
3. LOST D.O.O.</v>
      </c>
      <c r="E201" s="16">
        <v>42039</v>
      </c>
      <c r="F201" s="22">
        <v>42369</v>
      </c>
      <c r="G201" s="13">
        <v>16243</v>
      </c>
      <c r="H201" s="22">
        <v>42369</v>
      </c>
      <c r="I201" s="13">
        <v>5973</v>
      </c>
      <c r="J201" s="13">
        <f t="shared" si="12"/>
        <v>7466.25</v>
      </c>
      <c r="K201" s="6"/>
    </row>
    <row r="202" spans="1:11" ht="120" x14ac:dyDescent="0.25">
      <c r="A202" s="3">
        <v>26</v>
      </c>
      <c r="B202" s="14" t="s">
        <v>62</v>
      </c>
      <c r="C202" s="15" t="str">
        <f>"5/2012-C-LEXMARK-246"</f>
        <v>5/2012-C-LEXMARK-246</v>
      </c>
      <c r="D202" s="15" t="str">
        <f t="shared" si="13"/>
        <v>1. Zajednica ponuditelja: 
    BIRODOM D.O.O.
    STUBLIĆ IMPEX D.O.O.
2. Zajednica ponuditelja: 
    NARODNE NOVINE D.D.
    ZVIBOR D.O.O.
3. LOST D.O.O.</v>
      </c>
      <c r="E202" s="16">
        <v>42037</v>
      </c>
      <c r="F202" s="22">
        <v>42369</v>
      </c>
      <c r="G202" s="13">
        <v>116729</v>
      </c>
      <c r="H202" s="22">
        <v>42369</v>
      </c>
      <c r="I202" s="13">
        <v>108289</v>
      </c>
      <c r="J202" s="13">
        <f t="shared" si="12"/>
        <v>135361.25</v>
      </c>
      <c r="K202" s="6"/>
    </row>
    <row r="203" spans="1:11" ht="120" x14ac:dyDescent="0.25">
      <c r="A203" s="3">
        <v>27</v>
      </c>
      <c r="B203" s="14" t="s">
        <v>44</v>
      </c>
      <c r="C203" s="15" t="str">
        <f>"5/2012-C-LEXMARK-241"</f>
        <v>5/2012-C-LEXMARK-241</v>
      </c>
      <c r="D203" s="15" t="str">
        <f t="shared" si="13"/>
        <v>1. Zajednica ponuditelja: 
    BIRODOM D.O.O.
    STUBLIĆ IMPEX D.O.O.
2. Zajednica ponuditelja: 
    NARODNE NOVINE D.D.
    ZVIBOR D.O.O.
3. LOST D.O.O.</v>
      </c>
      <c r="E203" s="16">
        <v>42012</v>
      </c>
      <c r="F203" s="22">
        <v>42342</v>
      </c>
      <c r="G203" s="13">
        <v>16930</v>
      </c>
      <c r="H203" s="22">
        <v>42342</v>
      </c>
      <c r="I203" s="40">
        <v>0</v>
      </c>
      <c r="J203" s="40">
        <f t="shared" si="12"/>
        <v>0</v>
      </c>
      <c r="K203" s="6"/>
    </row>
    <row r="204" spans="1:11" ht="24" x14ac:dyDescent="0.25">
      <c r="A204" s="3">
        <v>28</v>
      </c>
      <c r="B204" s="14" t="s">
        <v>61</v>
      </c>
      <c r="C204" s="15" t="str">
        <f>"5/2012-C"</f>
        <v>5/2012-C</v>
      </c>
      <c r="D204" s="15" t="str">
        <f>CONCATENATE("STUBLIĆ IMPEX D.O.O.")</f>
        <v>STUBLIĆ IMPEX D.O.O.</v>
      </c>
      <c r="E204" s="16">
        <v>42425</v>
      </c>
      <c r="F204" s="22">
        <v>42369</v>
      </c>
      <c r="G204" s="13">
        <v>6843</v>
      </c>
      <c r="H204" s="22">
        <v>42369</v>
      </c>
      <c r="I204" s="13">
        <v>6843</v>
      </c>
      <c r="J204" s="13">
        <f t="shared" si="12"/>
        <v>8553.75</v>
      </c>
      <c r="K204" s="6"/>
    </row>
    <row r="205" spans="1:11" ht="120" x14ac:dyDescent="0.25">
      <c r="A205" s="3">
        <v>29</v>
      </c>
      <c r="B205" s="14" t="s">
        <v>25</v>
      </c>
      <c r="C205" s="15" t="str">
        <f>"5/2012-C-LEXMARK-244"</f>
        <v>5/2012-C-LEXMARK-244</v>
      </c>
      <c r="D205" s="15" t="str">
        <f t="shared" ref="D205:D217" si="14">CONCATENATE("1. Zajednica ponuditelja: ",CHAR(10),"    BIRODOM D.O.O.",CHAR(10),"    STUBLIĆ IMPEX D.O.O.",CHAR(10),"2. Zajednica ponuditelja: ",CHAR(10),"    NARODNE NOVINE D.D.",CHAR(10),"    ZVIBOR D.O.O.",CHAR(10),"3. LOST D.O.O.")</f>
        <v>1. Zajednica ponuditelja: 
    BIRODOM D.O.O.
    STUBLIĆ IMPEX D.O.O.
2. Zajednica ponuditelja: 
    NARODNE NOVINE D.D.
    ZVIBOR D.O.O.
3. LOST D.O.O.</v>
      </c>
      <c r="E205" s="16">
        <v>42003</v>
      </c>
      <c r="F205" s="22">
        <v>42369</v>
      </c>
      <c r="G205" s="13">
        <v>174528</v>
      </c>
      <c r="H205" s="22">
        <v>42369</v>
      </c>
      <c r="I205" s="13">
        <v>68581</v>
      </c>
      <c r="J205" s="13">
        <f t="shared" si="12"/>
        <v>85726.25</v>
      </c>
      <c r="K205" s="6"/>
    </row>
    <row r="206" spans="1:11" ht="120" x14ac:dyDescent="0.25">
      <c r="A206" s="3">
        <v>30</v>
      </c>
      <c r="B206" s="14" t="s">
        <v>41</v>
      </c>
      <c r="C206" s="15" t="str">
        <f>"5/DUSJN-14-C"</f>
        <v>5/DUSJN-14-C</v>
      </c>
      <c r="D206" s="15" t="str">
        <f t="shared" si="14"/>
        <v>1. Zajednica ponuditelja: 
    BIRODOM D.O.O.
    STUBLIĆ IMPEX D.O.O.
2. Zajednica ponuditelja: 
    NARODNE NOVINE D.D.
    ZVIBOR D.O.O.
3. LOST D.O.O.</v>
      </c>
      <c r="E206" s="16">
        <v>41974</v>
      </c>
      <c r="F206" s="22">
        <v>42339</v>
      </c>
      <c r="G206" s="13">
        <v>283897</v>
      </c>
      <c r="H206" s="22">
        <v>42339</v>
      </c>
      <c r="I206" s="13">
        <v>183404</v>
      </c>
      <c r="J206" s="13">
        <f t="shared" si="12"/>
        <v>229255</v>
      </c>
      <c r="K206" s="6"/>
    </row>
    <row r="207" spans="1:11" ht="120" x14ac:dyDescent="0.25">
      <c r="A207" s="3">
        <v>31</v>
      </c>
      <c r="B207" s="14" t="s">
        <v>29</v>
      </c>
      <c r="C207" s="15" t="str">
        <f>"5/2012-C-LEXMARK-164"</f>
        <v>5/2012-C-LEXMARK-164</v>
      </c>
      <c r="D207" s="15" t="str">
        <f t="shared" si="14"/>
        <v>1. Zajednica ponuditelja: 
    BIRODOM D.O.O.
    STUBLIĆ IMPEX D.O.O.
2. Zajednica ponuditelja: 
    NARODNE NOVINE D.D.
    ZVIBOR D.O.O.
3. LOST D.O.O.</v>
      </c>
      <c r="E207" s="16">
        <v>41837</v>
      </c>
      <c r="F207" s="22">
        <v>42202</v>
      </c>
      <c r="G207" s="13">
        <v>23271</v>
      </c>
      <c r="H207" s="22">
        <v>42202</v>
      </c>
      <c r="I207" s="13">
        <v>8738</v>
      </c>
      <c r="J207" s="13">
        <f t="shared" si="12"/>
        <v>10922.5</v>
      </c>
      <c r="K207" s="6"/>
    </row>
    <row r="208" spans="1:11" ht="120" x14ac:dyDescent="0.25">
      <c r="A208" s="3">
        <v>32</v>
      </c>
      <c r="B208" s="14" t="s">
        <v>91</v>
      </c>
      <c r="C208" s="15" t="str">
        <f>"5/2012-C-LEXMARK-160"</f>
        <v>5/2012-C-LEXMARK-160</v>
      </c>
      <c r="D208" s="15" t="str">
        <f t="shared" si="14"/>
        <v>1. Zajednica ponuditelja: 
    BIRODOM D.O.O.
    STUBLIĆ IMPEX D.O.O.
2. Zajednica ponuditelja: 
    NARODNE NOVINE D.D.
    ZVIBOR D.O.O.
3. LOST D.O.O.</v>
      </c>
      <c r="E208" s="16">
        <v>41829</v>
      </c>
      <c r="F208" s="22">
        <v>42397</v>
      </c>
      <c r="G208" s="13">
        <v>35410</v>
      </c>
      <c r="H208" s="22">
        <v>42397</v>
      </c>
      <c r="I208" s="13">
        <v>13751</v>
      </c>
      <c r="J208" s="13">
        <f t="shared" si="12"/>
        <v>17188.75</v>
      </c>
      <c r="K208" s="6"/>
    </row>
    <row r="209" spans="1:11" ht="120" x14ac:dyDescent="0.25">
      <c r="A209" s="3">
        <v>33</v>
      </c>
      <c r="B209" s="14" t="s">
        <v>35</v>
      </c>
      <c r="C209" s="15" t="str">
        <f>"140/2014"</f>
        <v>140/2014</v>
      </c>
      <c r="D209" s="15" t="str">
        <f t="shared" si="14"/>
        <v>1. Zajednica ponuditelja: 
    BIRODOM D.O.O.
    STUBLIĆ IMPEX D.O.O.
2. Zajednica ponuditelja: 
    NARODNE NOVINE D.D.
    ZVIBOR D.O.O.
3. LOST D.O.O.</v>
      </c>
      <c r="E209" s="16">
        <v>41766</v>
      </c>
      <c r="F209" s="22">
        <v>42124</v>
      </c>
      <c r="G209" s="13">
        <v>35813</v>
      </c>
      <c r="H209" s="22">
        <v>42124</v>
      </c>
      <c r="I209" s="13">
        <v>16200</v>
      </c>
      <c r="J209" s="13">
        <f t="shared" si="12"/>
        <v>20250</v>
      </c>
      <c r="K209" s="6"/>
    </row>
    <row r="210" spans="1:11" ht="120" x14ac:dyDescent="0.25">
      <c r="A210" s="3">
        <v>34</v>
      </c>
      <c r="B210" s="14" t="s">
        <v>59</v>
      </c>
      <c r="C210" s="15" t="str">
        <f>"02-A-A-0052/14-21"</f>
        <v>02-A-A-0052/14-21</v>
      </c>
      <c r="D210" s="15" t="str">
        <f t="shared" si="14"/>
        <v>1. Zajednica ponuditelja: 
    BIRODOM D.O.O.
    STUBLIĆ IMPEX D.O.O.
2. Zajednica ponuditelja: 
    NARODNE NOVINE D.D.
    ZVIBOR D.O.O.
3. LOST D.O.O.</v>
      </c>
      <c r="E210" s="16">
        <v>41759</v>
      </c>
      <c r="F210" s="22">
        <v>42124</v>
      </c>
      <c r="G210" s="13">
        <v>63990</v>
      </c>
      <c r="H210" s="22">
        <v>42124</v>
      </c>
      <c r="I210" s="13">
        <v>5693</v>
      </c>
      <c r="J210" s="13">
        <f t="shared" si="12"/>
        <v>7116.25</v>
      </c>
      <c r="K210" s="6"/>
    </row>
    <row r="211" spans="1:11" ht="120" x14ac:dyDescent="0.25">
      <c r="A211" s="3">
        <v>35</v>
      </c>
      <c r="B211" s="14" t="s">
        <v>36</v>
      </c>
      <c r="C211" s="15" t="str">
        <f>"5/2012-C-LEXMARK-136"</f>
        <v>5/2012-C-LEXMARK-136</v>
      </c>
      <c r="D211" s="15" t="str">
        <f t="shared" si="14"/>
        <v>1. Zajednica ponuditelja: 
    BIRODOM D.O.O.
    STUBLIĆ IMPEX D.O.O.
2. Zajednica ponuditelja: 
    NARODNE NOVINE D.D.
    ZVIBOR D.O.O.
3. LOST D.O.O.</v>
      </c>
      <c r="E211" s="16">
        <v>41758</v>
      </c>
      <c r="F211" s="22">
        <v>42123</v>
      </c>
      <c r="G211" s="13">
        <v>50583</v>
      </c>
      <c r="H211" s="22">
        <v>42123</v>
      </c>
      <c r="I211" s="13">
        <v>8600</v>
      </c>
      <c r="J211" s="13">
        <f t="shared" si="12"/>
        <v>10750</v>
      </c>
      <c r="K211" s="6"/>
    </row>
    <row r="212" spans="1:11" ht="120" x14ac:dyDescent="0.25">
      <c r="A212" s="3">
        <v>36</v>
      </c>
      <c r="B212" s="14" t="s">
        <v>31</v>
      </c>
      <c r="C212" s="15" t="str">
        <f>"U031/14"</f>
        <v>U031/14</v>
      </c>
      <c r="D212" s="15" t="str">
        <f t="shared" si="14"/>
        <v>1. Zajednica ponuditelja: 
    BIRODOM D.O.O.
    STUBLIĆ IMPEX D.O.O.
2. Zajednica ponuditelja: 
    NARODNE NOVINE D.D.
    ZVIBOR D.O.O.
3. LOST D.O.O.</v>
      </c>
      <c r="E212" s="16">
        <v>41743</v>
      </c>
      <c r="F212" s="22">
        <v>42108</v>
      </c>
      <c r="G212" s="13">
        <v>30871</v>
      </c>
      <c r="H212" s="22">
        <v>42108</v>
      </c>
      <c r="I212" s="40">
        <v>0</v>
      </c>
      <c r="J212" s="40">
        <f t="shared" si="12"/>
        <v>0</v>
      </c>
      <c r="K212" s="6"/>
    </row>
    <row r="213" spans="1:11" ht="120" x14ac:dyDescent="0.25">
      <c r="A213" s="3">
        <v>37</v>
      </c>
      <c r="B213" s="14" t="s">
        <v>27</v>
      </c>
      <c r="C213" s="15" t="str">
        <f>"5/2012-C-LEXMARK-107"</f>
        <v>5/2012-C-LEXMARK-107</v>
      </c>
      <c r="D213" s="15" t="str">
        <f t="shared" si="14"/>
        <v>1. Zajednica ponuditelja: 
    BIRODOM D.O.O.
    STUBLIĆ IMPEX D.O.O.
2. Zajednica ponuditelja: 
    NARODNE NOVINE D.D.
    ZVIBOR D.O.O.
3. LOST D.O.O.</v>
      </c>
      <c r="E213" s="16">
        <v>41705</v>
      </c>
      <c r="F213" s="22">
        <v>42070</v>
      </c>
      <c r="G213" s="13">
        <v>2648374</v>
      </c>
      <c r="H213" s="22">
        <v>42070</v>
      </c>
      <c r="I213" s="13">
        <v>2596373</v>
      </c>
      <c r="J213" s="13">
        <f t="shared" si="12"/>
        <v>3245466.25</v>
      </c>
      <c r="K213" s="6"/>
    </row>
    <row r="214" spans="1:11" ht="120" x14ac:dyDescent="0.25">
      <c r="A214" s="3">
        <v>38</v>
      </c>
      <c r="B214" s="14" t="s">
        <v>39</v>
      </c>
      <c r="C214" s="15" t="str">
        <f>"BROJ1/14"</f>
        <v>BROJ1/14</v>
      </c>
      <c r="D214" s="15" t="str">
        <f t="shared" si="14"/>
        <v>1. Zajednica ponuditelja: 
    BIRODOM D.O.O.
    STUBLIĆ IMPEX D.O.O.
2. Zajednica ponuditelja: 
    NARODNE NOVINE D.D.
    ZVIBOR D.O.O.
3. LOST D.O.O.</v>
      </c>
      <c r="E214" s="16">
        <v>41641</v>
      </c>
      <c r="F214" s="22">
        <v>42006</v>
      </c>
      <c r="G214" s="13">
        <v>302073</v>
      </c>
      <c r="H214" s="22">
        <v>42006</v>
      </c>
      <c r="I214" s="13">
        <v>292833</v>
      </c>
      <c r="J214" s="13">
        <f t="shared" si="12"/>
        <v>366041.25</v>
      </c>
      <c r="K214" s="6"/>
    </row>
    <row r="215" spans="1:11" ht="120" x14ac:dyDescent="0.25">
      <c r="A215" s="3">
        <v>39</v>
      </c>
      <c r="B215" s="14" t="s">
        <v>55</v>
      </c>
      <c r="C215" s="15" t="str">
        <f>"32-112-13(5/2012-C)-1"</f>
        <v>32-112-13(5/2012-C)-1</v>
      </c>
      <c r="D215" s="15" t="str">
        <f t="shared" si="14"/>
        <v>1. Zajednica ponuditelja: 
    BIRODOM D.O.O.
    STUBLIĆ IMPEX D.O.O.
2. Zajednica ponuditelja: 
    NARODNE NOVINE D.D.
    ZVIBOR D.O.O.
3. LOST D.O.O.</v>
      </c>
      <c r="E215" s="16">
        <v>41401</v>
      </c>
      <c r="F215" s="22">
        <v>42397</v>
      </c>
      <c r="G215" s="13">
        <v>646860</v>
      </c>
      <c r="H215" s="22">
        <v>42397</v>
      </c>
      <c r="I215" s="13">
        <v>21210</v>
      </c>
      <c r="J215" s="13">
        <f t="shared" si="12"/>
        <v>26512.5</v>
      </c>
      <c r="K215" s="6"/>
    </row>
    <row r="216" spans="1:11" ht="120" x14ac:dyDescent="0.25">
      <c r="A216" s="3">
        <v>40</v>
      </c>
      <c r="B216" s="14" t="s">
        <v>31</v>
      </c>
      <c r="C216" s="15" t="str">
        <f>"5/2012-C-LEXMARK-2"</f>
        <v>5/2012-C-LEXMARK-2</v>
      </c>
      <c r="D216" s="15" t="str">
        <f t="shared" si="14"/>
        <v>1. Zajednica ponuditelja: 
    BIRODOM D.O.O.
    STUBLIĆ IMPEX D.O.O.
2. Zajednica ponuditelja: 
    NARODNE NOVINE D.D.
    ZVIBOR D.O.O.
3. LOST D.O.O.</v>
      </c>
      <c r="E216" s="16">
        <v>41610</v>
      </c>
      <c r="F216" s="22">
        <v>42006</v>
      </c>
      <c r="G216" s="13">
        <v>31691</v>
      </c>
      <c r="H216" s="22">
        <v>42006</v>
      </c>
      <c r="I216" s="40">
        <v>0</v>
      </c>
      <c r="J216" s="40">
        <f t="shared" si="12"/>
        <v>0</v>
      </c>
      <c r="K216" s="6"/>
    </row>
    <row r="217" spans="1:11" ht="120" x14ac:dyDescent="0.25">
      <c r="A217" s="3">
        <v>41</v>
      </c>
      <c r="B217" s="14" t="s">
        <v>91</v>
      </c>
      <c r="C217" s="15" t="str">
        <f>"5/2012-C-LEXMARK-3"</f>
        <v>5/2012-C-LEXMARK-3</v>
      </c>
      <c r="D217" s="15" t="str">
        <f t="shared" si="14"/>
        <v>1. Zajednica ponuditelja: 
    BIRODOM D.O.O.
    STUBLIĆ IMPEX D.O.O.
2. Zajednica ponuditelja: 
    NARODNE NOVINE D.D.
    ZVIBOR D.O.O.
3. LOST D.O.O.</v>
      </c>
      <c r="E217" s="16">
        <v>41610</v>
      </c>
      <c r="F217" s="22">
        <v>42006</v>
      </c>
      <c r="G217" s="13">
        <v>22455</v>
      </c>
      <c r="H217" s="22">
        <v>42006</v>
      </c>
      <c r="I217" s="13">
        <v>7203</v>
      </c>
      <c r="J217" s="13">
        <f t="shared" si="12"/>
        <v>9003.75</v>
      </c>
      <c r="K217" s="6"/>
    </row>
    <row r="218" spans="1:11" ht="7.5" customHeight="1" x14ac:dyDescent="0.25"/>
    <row r="219" spans="1:11" ht="42" customHeight="1" x14ac:dyDescent="0.25">
      <c r="A219" s="1" t="s">
        <v>0</v>
      </c>
      <c r="B219" s="2" t="s">
        <v>1</v>
      </c>
      <c r="C219" s="2" t="s">
        <v>6</v>
      </c>
      <c r="D219" s="2" t="s">
        <v>2</v>
      </c>
      <c r="E219" s="2" t="s">
        <v>3</v>
      </c>
      <c r="F219" s="2" t="s">
        <v>7</v>
      </c>
      <c r="G219" s="2" t="s">
        <v>8</v>
      </c>
      <c r="H219" s="2" t="s">
        <v>4</v>
      </c>
      <c r="I219" s="2" t="s">
        <v>5</v>
      </c>
    </row>
    <row r="220" spans="1:11" x14ac:dyDescent="0.25">
      <c r="A220" s="3">
        <v>1</v>
      </c>
      <c r="B220" s="6" t="s">
        <v>661</v>
      </c>
      <c r="C220" s="3" t="s">
        <v>141</v>
      </c>
      <c r="D220" s="3" t="s">
        <v>686</v>
      </c>
      <c r="E220" s="3" t="s">
        <v>24</v>
      </c>
      <c r="F220" s="21">
        <v>41302</v>
      </c>
      <c r="G220" s="3" t="s">
        <v>116</v>
      </c>
      <c r="H220" s="7">
        <v>14000000</v>
      </c>
      <c r="I220" s="7">
        <v>12528346.67</v>
      </c>
    </row>
    <row r="221" spans="1:11" x14ac:dyDescent="0.25">
      <c r="A221" s="42" t="s">
        <v>706</v>
      </c>
      <c r="B221" s="43"/>
      <c r="C221" s="43"/>
      <c r="D221" s="43"/>
      <c r="E221" s="43"/>
      <c r="F221" s="43"/>
      <c r="G221" s="43"/>
      <c r="H221" s="44"/>
      <c r="I221" s="7">
        <v>3330393.06</v>
      </c>
    </row>
    <row r="222" spans="1:11" ht="7.5" customHeight="1" x14ac:dyDescent="0.25"/>
    <row r="223" spans="1:11" x14ac:dyDescent="0.25">
      <c r="A223" s="46" t="s">
        <v>20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11" ht="63.75" customHeight="1" x14ac:dyDescent="0.25">
      <c r="A224" s="4" t="s">
        <v>0</v>
      </c>
      <c r="B224" s="5" t="s">
        <v>10</v>
      </c>
      <c r="C224" s="5" t="s">
        <v>9</v>
      </c>
      <c r="D224" s="5" t="s">
        <v>13</v>
      </c>
      <c r="E224" s="5" t="s">
        <v>12</v>
      </c>
      <c r="F224" s="5" t="s">
        <v>11</v>
      </c>
      <c r="G224" s="5" t="s">
        <v>18</v>
      </c>
      <c r="H224" s="5" t="s">
        <v>14</v>
      </c>
      <c r="I224" s="5" t="s">
        <v>15</v>
      </c>
      <c r="J224" s="5" t="s">
        <v>16</v>
      </c>
      <c r="K224" s="5" t="s">
        <v>17</v>
      </c>
    </row>
    <row r="225" spans="1:11" ht="24" x14ac:dyDescent="0.25">
      <c r="A225" s="3">
        <v>1</v>
      </c>
      <c r="B225" s="14" t="s">
        <v>91</v>
      </c>
      <c r="C225" s="15" t="str">
        <f>"U17/14"</f>
        <v>U17/14</v>
      </c>
      <c r="D225" s="15" t="str">
        <f>CONCATENATE("NARODNE NOVINE D.D.")</f>
        <v>NARODNE NOVINE D.D.</v>
      </c>
      <c r="E225" s="16">
        <v>41829</v>
      </c>
      <c r="F225" s="22"/>
      <c r="G225" s="13">
        <v>43750</v>
      </c>
      <c r="H225" s="22"/>
      <c r="I225" s="13">
        <v>9246</v>
      </c>
      <c r="J225" s="13">
        <f>I225*1.25</f>
        <v>11557.5</v>
      </c>
      <c r="K225" s="6"/>
    </row>
    <row r="226" spans="1:11" x14ac:dyDescent="0.25">
      <c r="A226" s="3">
        <v>2</v>
      </c>
      <c r="B226" s="14" t="s">
        <v>82</v>
      </c>
      <c r="C226" s="15" t="str">
        <f>"NAR/2015-HS-D"</f>
        <v>NAR/2015-HS-D</v>
      </c>
      <c r="D226" s="15" t="str">
        <f>CONCATENATE("GORNJI GRAD D.O.O.")</f>
        <v>GORNJI GRAD D.O.O.</v>
      </c>
      <c r="E226" s="16">
        <v>42005</v>
      </c>
      <c r="F226" s="22">
        <v>42369</v>
      </c>
      <c r="G226" s="13">
        <v>7298</v>
      </c>
      <c r="H226" s="22">
        <v>42369</v>
      </c>
      <c r="I226" s="13">
        <v>7298</v>
      </c>
      <c r="J226" s="13">
        <f t="shared" ref="J226:J253" si="15">I226*1.25</f>
        <v>9122.5</v>
      </c>
      <c r="K226" s="6"/>
    </row>
    <row r="227" spans="1:11" ht="36" x14ac:dyDescent="0.25">
      <c r="A227" s="3">
        <v>3</v>
      </c>
      <c r="B227" s="14" t="s">
        <v>59</v>
      </c>
      <c r="C227" s="15" t="str">
        <f>"000191/2015"</f>
        <v>000191/2015</v>
      </c>
      <c r="D227" s="15" t="str">
        <f>CONCATENATE("NARODNE NOVINE D.D.")</f>
        <v>NARODNE NOVINE D.D.</v>
      </c>
      <c r="E227" s="16">
        <v>42117</v>
      </c>
      <c r="F227" s="22"/>
      <c r="G227" s="13">
        <v>26885</v>
      </c>
      <c r="H227" s="22"/>
      <c r="I227" s="13">
        <v>6100</v>
      </c>
      <c r="J227" s="13">
        <f t="shared" si="15"/>
        <v>7625</v>
      </c>
      <c r="K227" s="6"/>
    </row>
    <row r="228" spans="1:11" ht="24" x14ac:dyDescent="0.25">
      <c r="A228" s="3">
        <v>4</v>
      </c>
      <c r="B228" s="14" t="s">
        <v>45</v>
      </c>
      <c r="C228" s="15" t="str">
        <f>"5/2012-D-U2"</f>
        <v>5/2012-D-U2</v>
      </c>
      <c r="D228" s="15" t="str">
        <f>CONCATENATE("NARODNE NOVINE D.D.")</f>
        <v>NARODNE NOVINE D.D.</v>
      </c>
      <c r="E228" s="16">
        <v>41926</v>
      </c>
      <c r="F228" s="22"/>
      <c r="G228" s="13">
        <v>3213</v>
      </c>
      <c r="H228" s="22"/>
      <c r="I228" s="13">
        <v>2295</v>
      </c>
      <c r="J228" s="13">
        <f t="shared" si="15"/>
        <v>2868.75</v>
      </c>
      <c r="K228" s="6"/>
    </row>
    <row r="229" spans="1:11" ht="24" x14ac:dyDescent="0.25">
      <c r="A229" s="3">
        <v>5</v>
      </c>
      <c r="B229" s="14" t="s">
        <v>42</v>
      </c>
      <c r="C229" s="15" t="str">
        <f>"NND-2012-15-172"</f>
        <v>NND-2012-15-172</v>
      </c>
      <c r="D229" s="15" t="str">
        <f>CONCATENATE("BIRODOM D.O.O.")</f>
        <v>BIRODOM D.O.O.</v>
      </c>
      <c r="E229" s="16">
        <v>42201</v>
      </c>
      <c r="F229" s="22"/>
      <c r="G229" s="13">
        <v>2100</v>
      </c>
      <c r="H229" s="22"/>
      <c r="I229" s="13">
        <v>2100</v>
      </c>
      <c r="J229" s="13">
        <f t="shared" si="15"/>
        <v>2625</v>
      </c>
      <c r="K229" s="6"/>
    </row>
    <row r="230" spans="1:11" ht="24" x14ac:dyDescent="0.25">
      <c r="A230" s="3">
        <v>6</v>
      </c>
      <c r="B230" s="14" t="s">
        <v>31</v>
      </c>
      <c r="C230" s="15" t="str">
        <f>"NAR2015-LR4"</f>
        <v>NAR2015-LR4</v>
      </c>
      <c r="D230" s="15" t="str">
        <f>CONCATENATE("NARODNE NOVINE D.D.")</f>
        <v>NARODNE NOVINE D.D.</v>
      </c>
      <c r="E230" s="16">
        <v>42369</v>
      </c>
      <c r="F230" s="22"/>
      <c r="G230" s="13">
        <v>42980</v>
      </c>
      <c r="H230" s="22"/>
      <c r="I230" s="13">
        <v>42980</v>
      </c>
      <c r="J230" s="13">
        <f t="shared" si="15"/>
        <v>53725</v>
      </c>
      <c r="K230" s="6"/>
    </row>
    <row r="231" spans="1:11" ht="36" x14ac:dyDescent="0.25">
      <c r="A231" s="3">
        <v>7</v>
      </c>
      <c r="B231" s="14" t="s">
        <v>34</v>
      </c>
      <c r="C231" s="15" t="str">
        <f>"NAR/2015-D"</f>
        <v>NAR/2015-D</v>
      </c>
      <c r="D231" s="15" t="str">
        <f>CONCATENATE("NARODNE NOVINE D.D.")</f>
        <v>NARODNE NOVINE D.D.</v>
      </c>
      <c r="E231" s="16">
        <v>42005</v>
      </c>
      <c r="F231" s="22">
        <v>42369</v>
      </c>
      <c r="G231" s="13">
        <v>9760</v>
      </c>
      <c r="H231" s="22">
        <v>42369</v>
      </c>
      <c r="I231" s="13">
        <v>9760</v>
      </c>
      <c r="J231" s="13">
        <f t="shared" si="15"/>
        <v>12200</v>
      </c>
      <c r="K231" s="6"/>
    </row>
    <row r="232" spans="1:11" ht="24" x14ac:dyDescent="0.25">
      <c r="A232" s="3">
        <v>8</v>
      </c>
      <c r="B232" s="14" t="s">
        <v>37</v>
      </c>
      <c r="C232" s="15" t="str">
        <f>"5/2012-D-81"</f>
        <v>5/2012-D-81</v>
      </c>
      <c r="D232" s="15" t="str">
        <f>CONCATENATE("GORNJI GRAD D.O.O.")</f>
        <v>GORNJI GRAD D.O.O.</v>
      </c>
      <c r="E232" s="16">
        <v>41982</v>
      </c>
      <c r="F232" s="22"/>
      <c r="G232" s="13">
        <v>6765</v>
      </c>
      <c r="H232" s="22"/>
      <c r="I232" s="13">
        <v>3002</v>
      </c>
      <c r="J232" s="13">
        <f t="shared" si="15"/>
        <v>3752.5</v>
      </c>
      <c r="K232" s="6"/>
    </row>
    <row r="233" spans="1:11" ht="24" x14ac:dyDescent="0.25">
      <c r="A233" s="3">
        <v>9</v>
      </c>
      <c r="B233" s="14" t="s">
        <v>28</v>
      </c>
      <c r="C233" s="15" t="str">
        <f>"MGPU 5/2012-D"</f>
        <v>MGPU 5/2012-D</v>
      </c>
      <c r="D233" s="15" t="str">
        <f>CONCATENATE("NARODNE NOVINE D.D.")</f>
        <v>NARODNE NOVINE D.D.</v>
      </c>
      <c r="E233" s="16">
        <v>42006</v>
      </c>
      <c r="F233" s="22">
        <v>42369</v>
      </c>
      <c r="G233" s="13">
        <v>29290</v>
      </c>
      <c r="H233" s="22">
        <v>42369</v>
      </c>
      <c r="I233" s="13">
        <v>0</v>
      </c>
      <c r="J233" s="13">
        <f t="shared" si="15"/>
        <v>0</v>
      </c>
      <c r="K233" s="6"/>
    </row>
    <row r="234" spans="1:11" ht="120" x14ac:dyDescent="0.25">
      <c r="A234" s="3">
        <v>10</v>
      </c>
      <c r="B234" s="14" t="s">
        <v>44</v>
      </c>
      <c r="C234" s="15" t="str">
        <f>"5/2012-D-SAMSUNG-288"</f>
        <v>5/2012-D-SAMSUNG-288</v>
      </c>
      <c r="D234" s="15" t="str">
        <f t="shared" ref="D234:D244" si="16">CONCATENATE("1. GORNJI GRAD D.O.O.",CHAR(10),"2. Zajednica ponuditelja: ",CHAR(10),"    BIRODOM D.O.O.",CHAR(10),"    STUBLIĆ IMPEX D.O.O.",CHAR(10),"3. Zajednica ponuditelja: ",CHAR(10),"    NARODNE NOVINE D.D.",CHAR(10),"    ZVIBOR D.O.O.")</f>
        <v>1. GORNJI GRAD D.O.O.
2. Zajednica ponuditelja: 
    BIRODOM D.O.O.
    STUBLIĆ IMPEX D.O.O.
3. Zajednica ponuditelja: 
    NARODNE NOVINE D.D.
    ZVIBOR D.O.O.</v>
      </c>
      <c r="E234" s="16">
        <v>42359</v>
      </c>
      <c r="F234" s="22">
        <v>42397</v>
      </c>
      <c r="G234" s="13">
        <v>15515</v>
      </c>
      <c r="H234" s="22">
        <v>42397</v>
      </c>
      <c r="I234" s="13">
        <v>0</v>
      </c>
      <c r="J234" s="13">
        <f t="shared" si="15"/>
        <v>0</v>
      </c>
      <c r="K234" s="6"/>
    </row>
    <row r="235" spans="1:11" ht="120" x14ac:dyDescent="0.25">
      <c r="A235" s="3">
        <v>11</v>
      </c>
      <c r="B235" s="14" t="s">
        <v>41</v>
      </c>
      <c r="C235" s="15" t="str">
        <f>"5/DUSJN-15-D"</f>
        <v>5/DUSJN-15-D</v>
      </c>
      <c r="D235" s="15" t="str">
        <f t="shared" si="16"/>
        <v>1. GORNJI GRAD D.O.O.
2. Zajednica ponuditelja: 
    BIRODOM D.O.O.
    STUBLIĆ IMPEX D.O.O.
3. Zajednica ponuditelja: 
    NARODNE NOVINE D.D.
    ZVIBOR D.O.O.</v>
      </c>
      <c r="E235" s="16">
        <v>42345</v>
      </c>
      <c r="F235" s="22">
        <v>42711</v>
      </c>
      <c r="G235" s="13">
        <v>52755</v>
      </c>
      <c r="H235" s="22">
        <v>42711</v>
      </c>
      <c r="I235" s="13">
        <v>0</v>
      </c>
      <c r="J235" s="13">
        <f t="shared" si="15"/>
        <v>0</v>
      </c>
      <c r="K235" s="6"/>
    </row>
    <row r="236" spans="1:11" ht="120" x14ac:dyDescent="0.25">
      <c r="A236" s="3">
        <v>12</v>
      </c>
      <c r="B236" s="14" t="s">
        <v>42</v>
      </c>
      <c r="C236" s="15" t="str">
        <f>"SNUG-202-15-0070-2"</f>
        <v>SNUG-202-15-0070-2</v>
      </c>
      <c r="D236" s="15" t="str">
        <f t="shared" si="16"/>
        <v>1. GORNJI GRAD D.O.O.
2. Zajednica ponuditelja: 
    BIRODOM D.O.O.
    STUBLIĆ IMPEX D.O.O.
3. Zajednica ponuditelja: 
    NARODNE NOVINE D.D.
    ZVIBOR D.O.O.</v>
      </c>
      <c r="E236" s="16">
        <v>42324</v>
      </c>
      <c r="F236" s="22">
        <v>42369</v>
      </c>
      <c r="G236" s="13">
        <v>96345</v>
      </c>
      <c r="H236" s="22">
        <v>42369</v>
      </c>
      <c r="I236" s="13">
        <v>96345</v>
      </c>
      <c r="J236" s="13">
        <f t="shared" si="15"/>
        <v>120431.25</v>
      </c>
      <c r="K236" s="6"/>
    </row>
    <row r="237" spans="1:11" ht="120" x14ac:dyDescent="0.25">
      <c r="A237" s="3">
        <v>13</v>
      </c>
      <c r="B237" s="14" t="s">
        <v>42</v>
      </c>
      <c r="C237" s="15" t="str">
        <f>"SNUG-202-15-046-2"</f>
        <v>SNUG-202-15-046-2</v>
      </c>
      <c r="D237" s="15" t="str">
        <f t="shared" si="16"/>
        <v>1. GORNJI GRAD D.O.O.
2. Zajednica ponuditelja: 
    BIRODOM D.O.O.
    STUBLIĆ IMPEX D.O.O.
3. Zajednica ponuditelja: 
    NARODNE NOVINE D.D.
    ZVIBOR D.O.O.</v>
      </c>
      <c r="E237" s="16">
        <v>42219</v>
      </c>
      <c r="F237" s="22">
        <v>42369</v>
      </c>
      <c r="G237" s="13">
        <v>85406</v>
      </c>
      <c r="H237" s="22">
        <v>42369</v>
      </c>
      <c r="I237" s="13">
        <v>85406</v>
      </c>
      <c r="J237" s="13">
        <f t="shared" si="15"/>
        <v>106757.5</v>
      </c>
      <c r="K237" s="6"/>
    </row>
    <row r="238" spans="1:11" ht="120" x14ac:dyDescent="0.25">
      <c r="A238" s="3">
        <v>14</v>
      </c>
      <c r="B238" s="14" t="s">
        <v>42</v>
      </c>
      <c r="C238" s="15" t="str">
        <f>"SNUG-202-15-0038-1"</f>
        <v>SNUG-202-15-0038-1</v>
      </c>
      <c r="D238" s="15" t="str">
        <f t="shared" si="16"/>
        <v>1. GORNJI GRAD D.O.O.
2. Zajednica ponuditelja: 
    BIRODOM D.O.O.
    STUBLIĆ IMPEX D.O.O.
3. Zajednica ponuditelja: 
    NARODNE NOVINE D.D.
    ZVIBOR D.O.O.</v>
      </c>
      <c r="E238" s="16">
        <v>42135</v>
      </c>
      <c r="F238" s="22">
        <v>42196</v>
      </c>
      <c r="G238" s="13">
        <v>70530</v>
      </c>
      <c r="H238" s="22">
        <v>42196</v>
      </c>
      <c r="I238" s="13">
        <v>70530</v>
      </c>
      <c r="J238" s="13">
        <f t="shared" si="15"/>
        <v>88162.5</v>
      </c>
      <c r="K238" s="6"/>
    </row>
    <row r="239" spans="1:11" ht="120" x14ac:dyDescent="0.25">
      <c r="A239" s="3">
        <v>15</v>
      </c>
      <c r="B239" s="14" t="s">
        <v>35</v>
      </c>
      <c r="C239" s="15" t="str">
        <f>"92/15"</f>
        <v>92/15</v>
      </c>
      <c r="D239" s="15" t="str">
        <f t="shared" si="16"/>
        <v>1. GORNJI GRAD D.O.O.
2. Zajednica ponuditelja: 
    BIRODOM D.O.O.
    STUBLIĆ IMPEX D.O.O.
3. Zajednica ponuditelja: 
    NARODNE NOVINE D.D.
    ZVIBOR D.O.O.</v>
      </c>
      <c r="E239" s="16">
        <v>42132</v>
      </c>
      <c r="F239" s="22">
        <v>42490</v>
      </c>
      <c r="G239" s="13">
        <v>44796</v>
      </c>
      <c r="H239" s="22">
        <v>42490</v>
      </c>
      <c r="I239" s="13">
        <v>20845.060000000001</v>
      </c>
      <c r="J239" s="13">
        <f t="shared" si="15"/>
        <v>26056.325000000001</v>
      </c>
      <c r="K239" s="6"/>
    </row>
    <row r="240" spans="1:11" ht="120" x14ac:dyDescent="0.25">
      <c r="A240" s="3">
        <v>16</v>
      </c>
      <c r="B240" s="14" t="s">
        <v>30</v>
      </c>
      <c r="C240" s="15" t="str">
        <f>"510/7-A-A-0027/15-90"</f>
        <v>510/7-A-A-0027/15-90</v>
      </c>
      <c r="D240" s="15" t="str">
        <f t="shared" si="16"/>
        <v>1. GORNJI GRAD D.O.O.
2. Zajednica ponuditelja: 
    BIRODOM D.O.O.
    STUBLIĆ IMPEX D.O.O.
3. Zajednica ponuditelja: 
    NARODNE NOVINE D.D.
    ZVIBOR D.O.O.</v>
      </c>
      <c r="E240" s="16">
        <v>42110</v>
      </c>
      <c r="F240" s="22">
        <v>42476</v>
      </c>
      <c r="G240" s="13">
        <v>42083</v>
      </c>
      <c r="H240" s="22">
        <v>42476</v>
      </c>
      <c r="I240" s="13">
        <v>13023</v>
      </c>
      <c r="J240" s="13">
        <f t="shared" si="15"/>
        <v>16278.75</v>
      </c>
      <c r="K240" s="6"/>
    </row>
    <row r="241" spans="1:11" ht="120" x14ac:dyDescent="0.25">
      <c r="A241" s="3">
        <v>17</v>
      </c>
      <c r="B241" s="14" t="s">
        <v>62</v>
      </c>
      <c r="C241" s="15" t="str">
        <f>"5/2012-D-SAMSUNG-264"</f>
        <v>5/2012-D-SAMSUNG-264</v>
      </c>
      <c r="D241" s="15" t="str">
        <f t="shared" si="16"/>
        <v>1. GORNJI GRAD D.O.O.
2. Zajednica ponuditelja: 
    BIRODOM D.O.O.
    STUBLIĆ IMPEX D.O.O.
3. Zajednica ponuditelja: 
    NARODNE NOVINE D.D.
    ZVIBOR D.O.O.</v>
      </c>
      <c r="E241" s="16">
        <v>42079</v>
      </c>
      <c r="F241" s="22">
        <v>42369</v>
      </c>
      <c r="G241" s="13">
        <v>21260</v>
      </c>
      <c r="H241" s="22">
        <v>42369</v>
      </c>
      <c r="I241" s="13">
        <v>4590</v>
      </c>
      <c r="J241" s="13">
        <f t="shared" si="15"/>
        <v>5737.5</v>
      </c>
      <c r="K241" s="6"/>
    </row>
    <row r="242" spans="1:11" ht="120" x14ac:dyDescent="0.25">
      <c r="A242" s="3">
        <v>18</v>
      </c>
      <c r="B242" s="14" t="s">
        <v>42</v>
      </c>
      <c r="C242" s="15" t="str">
        <f>"SNUG-202-15-0012-3"</f>
        <v>SNUG-202-15-0012-3</v>
      </c>
      <c r="D242" s="15" t="str">
        <f t="shared" si="16"/>
        <v>1. GORNJI GRAD D.O.O.
2. Zajednica ponuditelja: 
    BIRODOM D.O.O.
    STUBLIĆ IMPEX D.O.O.
3. Zajednica ponuditelja: 
    NARODNE NOVINE D.D.
    ZVIBOR D.O.O.</v>
      </c>
      <c r="E242" s="16">
        <v>42074</v>
      </c>
      <c r="F242" s="22">
        <v>42135</v>
      </c>
      <c r="G242" s="13">
        <v>106371.5</v>
      </c>
      <c r="H242" s="22">
        <v>42135</v>
      </c>
      <c r="I242" s="13">
        <v>106371.5</v>
      </c>
      <c r="J242" s="13">
        <f t="shared" si="15"/>
        <v>132964.375</v>
      </c>
      <c r="K242" s="6"/>
    </row>
    <row r="243" spans="1:11" ht="120" x14ac:dyDescent="0.25">
      <c r="A243" s="3">
        <v>19</v>
      </c>
      <c r="B243" s="14" t="s">
        <v>27</v>
      </c>
      <c r="C243" s="15" t="str">
        <f>"5/2012-D-SAMSUNG-253"</f>
        <v>5/2012-D-SAMSUNG-253</v>
      </c>
      <c r="D243" s="15" t="str">
        <f t="shared" si="16"/>
        <v>1. GORNJI GRAD D.O.O.
2. Zajednica ponuditelja: 
    BIRODOM D.O.O.
    STUBLIĆ IMPEX D.O.O.
3. Zajednica ponuditelja: 
    NARODNE NOVINE D.D.
    ZVIBOR D.O.O.</v>
      </c>
      <c r="E243" s="16">
        <v>42067</v>
      </c>
      <c r="F243" s="22">
        <v>42397</v>
      </c>
      <c r="G243" s="13">
        <v>1552680</v>
      </c>
      <c r="H243" s="22">
        <v>42397</v>
      </c>
      <c r="I243" s="13">
        <v>1191425</v>
      </c>
      <c r="J243" s="13">
        <f t="shared" si="15"/>
        <v>1489281.25</v>
      </c>
      <c r="K243" s="6"/>
    </row>
    <row r="244" spans="1:11" ht="120" x14ac:dyDescent="0.25">
      <c r="A244" s="3">
        <v>20</v>
      </c>
      <c r="B244" s="14" t="s">
        <v>26</v>
      </c>
      <c r="C244" s="15" t="str">
        <f>"32-2015"</f>
        <v>32-2015</v>
      </c>
      <c r="D244" s="15" t="str">
        <f t="shared" si="16"/>
        <v>1. GORNJI GRAD D.O.O.
2. Zajednica ponuditelja: 
    BIRODOM D.O.O.
    STUBLIĆ IMPEX D.O.O.
3. Zajednica ponuditelja: 
    NARODNE NOVINE D.D.
    ZVIBOR D.O.O.</v>
      </c>
      <c r="E244" s="16">
        <v>42039</v>
      </c>
      <c r="F244" s="22">
        <v>42369</v>
      </c>
      <c r="G244" s="13">
        <v>9755</v>
      </c>
      <c r="H244" s="22">
        <v>42369</v>
      </c>
      <c r="I244" s="13">
        <v>1950</v>
      </c>
      <c r="J244" s="13">
        <f t="shared" si="15"/>
        <v>2437.5</v>
      </c>
      <c r="K244" s="6"/>
    </row>
    <row r="245" spans="1:11" ht="24" x14ac:dyDescent="0.25">
      <c r="A245" s="3">
        <v>21</v>
      </c>
      <c r="B245" s="14" t="s">
        <v>25</v>
      </c>
      <c r="C245" s="15" t="str">
        <f>"5/2012-D-SAMSUNG-245"</f>
        <v>5/2012-D-SAMSUNG-245</v>
      </c>
      <c r="D245" s="15" t="str">
        <f>CONCATENATE("GORNJI GRAD D.O.O.")</f>
        <v>GORNJI GRAD D.O.O.</v>
      </c>
      <c r="E245" s="16">
        <v>42003</v>
      </c>
      <c r="F245" s="22">
        <v>42369</v>
      </c>
      <c r="G245" s="13">
        <v>14711</v>
      </c>
      <c r="H245" s="22">
        <v>42369</v>
      </c>
      <c r="I245" s="13">
        <v>5424.5</v>
      </c>
      <c r="J245" s="13">
        <f t="shared" si="15"/>
        <v>6780.625</v>
      </c>
      <c r="K245" s="6"/>
    </row>
    <row r="246" spans="1:11" ht="120" x14ac:dyDescent="0.25">
      <c r="A246" s="3">
        <v>22</v>
      </c>
      <c r="B246" s="14" t="s">
        <v>44</v>
      </c>
      <c r="C246" s="15" t="str">
        <f>"5/2012-D-SAMSUNG-242"</f>
        <v>5/2012-D-SAMSUNG-242</v>
      </c>
      <c r="D246" s="15" t="str">
        <f t="shared" ref="D246:D253" si="17">CONCATENATE("1. GORNJI GRAD D.O.O.",CHAR(10),"2. Zajednica ponuditelja: ",CHAR(10),"    BIRODOM D.O.O.",CHAR(10),"    STUBLIĆ IMPEX D.O.O.",CHAR(10),"3. Zajednica ponuditelja: ",CHAR(10),"    NARODNE NOVINE D.D.",CHAR(10),"    ZVIBOR D.O.O.")</f>
        <v>1. GORNJI GRAD D.O.O.
2. Zajednica ponuditelja: 
    BIRODOM D.O.O.
    STUBLIĆ IMPEX D.O.O.
3. Zajednica ponuditelja: 
    NARODNE NOVINE D.D.
    ZVIBOR D.O.O.</v>
      </c>
      <c r="E246" s="16">
        <v>41975</v>
      </c>
      <c r="F246" s="22">
        <v>42340</v>
      </c>
      <c r="G246" s="13">
        <v>115230</v>
      </c>
      <c r="H246" s="22">
        <v>42340</v>
      </c>
      <c r="I246" s="13">
        <v>27500</v>
      </c>
      <c r="J246" s="13">
        <f t="shared" si="15"/>
        <v>34375</v>
      </c>
      <c r="K246" s="6"/>
    </row>
    <row r="247" spans="1:11" ht="120" x14ac:dyDescent="0.25">
      <c r="A247" s="3">
        <v>23</v>
      </c>
      <c r="B247" s="14" t="s">
        <v>41</v>
      </c>
      <c r="C247" s="15" t="str">
        <f>"5/DUSJN-14-D"</f>
        <v>5/DUSJN-14-D</v>
      </c>
      <c r="D247" s="15" t="str">
        <f t="shared" si="17"/>
        <v>1. GORNJI GRAD D.O.O.
2. Zajednica ponuditelja: 
    BIRODOM D.O.O.
    STUBLIĆ IMPEX D.O.O.
3. Zajednica ponuditelja: 
    NARODNE NOVINE D.D.
    ZVIBOR D.O.O.</v>
      </c>
      <c r="E247" s="16">
        <v>41974</v>
      </c>
      <c r="F247" s="22">
        <v>42339</v>
      </c>
      <c r="G247" s="13">
        <v>120845</v>
      </c>
      <c r="H247" s="22">
        <v>42339</v>
      </c>
      <c r="I247" s="13">
        <v>42228</v>
      </c>
      <c r="J247" s="13">
        <f t="shared" si="15"/>
        <v>52785</v>
      </c>
      <c r="K247" s="6"/>
    </row>
    <row r="248" spans="1:11" ht="120" x14ac:dyDescent="0.25">
      <c r="A248" s="3">
        <v>24</v>
      </c>
      <c r="B248" s="14" t="s">
        <v>29</v>
      </c>
      <c r="C248" s="15" t="str">
        <f>"5/2012-D-SAMSUNG-163"</f>
        <v>5/2012-D-SAMSUNG-163</v>
      </c>
      <c r="D248" s="15" t="str">
        <f t="shared" si="17"/>
        <v>1. GORNJI GRAD D.O.O.
2. Zajednica ponuditelja: 
    BIRODOM D.O.O.
    STUBLIĆ IMPEX D.O.O.
3. Zajednica ponuditelja: 
    NARODNE NOVINE D.D.
    ZVIBOR D.O.O.</v>
      </c>
      <c r="E248" s="16">
        <v>41838</v>
      </c>
      <c r="F248" s="22">
        <v>42203</v>
      </c>
      <c r="G248" s="13">
        <v>2586</v>
      </c>
      <c r="H248" s="22">
        <v>42203</v>
      </c>
      <c r="I248" s="13">
        <v>0</v>
      </c>
      <c r="J248" s="13">
        <f t="shared" si="15"/>
        <v>0</v>
      </c>
      <c r="K248" s="6"/>
    </row>
    <row r="249" spans="1:11" ht="120" x14ac:dyDescent="0.25">
      <c r="A249" s="3">
        <v>25</v>
      </c>
      <c r="B249" s="14" t="s">
        <v>91</v>
      </c>
      <c r="C249" s="15" t="str">
        <f>"5/2012-D-SAMSUNG-160"</f>
        <v>5/2012-D-SAMSUNG-160</v>
      </c>
      <c r="D249" s="15" t="str">
        <f t="shared" si="17"/>
        <v>1. GORNJI GRAD D.O.O.
2. Zajednica ponuditelja: 
    BIRODOM D.O.O.
    STUBLIĆ IMPEX D.O.O.
3. Zajednica ponuditelja: 
    NARODNE NOVINE D.D.
    ZVIBOR D.O.O.</v>
      </c>
      <c r="E249" s="16">
        <v>41829</v>
      </c>
      <c r="F249" s="22">
        <v>42397</v>
      </c>
      <c r="G249" s="13">
        <v>8340</v>
      </c>
      <c r="H249" s="22">
        <v>42397</v>
      </c>
      <c r="I249" s="13">
        <v>3310</v>
      </c>
      <c r="J249" s="13">
        <f t="shared" si="15"/>
        <v>4137.5</v>
      </c>
      <c r="K249" s="6"/>
    </row>
    <row r="250" spans="1:11" ht="120" x14ac:dyDescent="0.25">
      <c r="A250" s="3">
        <v>26</v>
      </c>
      <c r="B250" s="14" t="s">
        <v>35</v>
      </c>
      <c r="C250" s="15" t="str">
        <f>"141/2014"</f>
        <v>141/2014</v>
      </c>
      <c r="D250" s="15" t="str">
        <f t="shared" si="17"/>
        <v>1. GORNJI GRAD D.O.O.
2. Zajednica ponuditelja: 
    BIRODOM D.O.O.
    STUBLIĆ IMPEX D.O.O.
3. Zajednica ponuditelja: 
    NARODNE NOVINE D.D.
    ZVIBOR D.O.O.</v>
      </c>
      <c r="E250" s="16">
        <v>41766</v>
      </c>
      <c r="F250" s="22">
        <v>42124</v>
      </c>
      <c r="G250" s="13">
        <v>54796</v>
      </c>
      <c r="H250" s="22">
        <v>42124</v>
      </c>
      <c r="I250" s="13">
        <v>18201</v>
      </c>
      <c r="J250" s="13">
        <f t="shared" si="15"/>
        <v>22751.25</v>
      </c>
      <c r="K250" s="6"/>
    </row>
    <row r="251" spans="1:11" ht="120" x14ac:dyDescent="0.25">
      <c r="A251" s="3">
        <v>27</v>
      </c>
      <c r="B251" s="14" t="s">
        <v>31</v>
      </c>
      <c r="C251" s="15" t="str">
        <f>"U038/14"</f>
        <v>U038/14</v>
      </c>
      <c r="D251" s="15" t="str">
        <f t="shared" si="17"/>
        <v>1. GORNJI GRAD D.O.O.
2. Zajednica ponuditelja: 
    BIRODOM D.O.O.
    STUBLIĆ IMPEX D.O.O.
3. Zajednica ponuditelja: 
    NARODNE NOVINE D.D.
    ZVIBOR D.O.O.</v>
      </c>
      <c r="E251" s="16">
        <v>41739</v>
      </c>
      <c r="F251" s="22">
        <v>42104</v>
      </c>
      <c r="G251" s="13">
        <v>174578</v>
      </c>
      <c r="H251" s="22">
        <v>42104</v>
      </c>
      <c r="I251" s="40">
        <v>0</v>
      </c>
      <c r="J251" s="40">
        <f t="shared" si="15"/>
        <v>0</v>
      </c>
      <c r="K251" s="6"/>
    </row>
    <row r="252" spans="1:11" ht="120" x14ac:dyDescent="0.25">
      <c r="A252" s="3">
        <v>28</v>
      </c>
      <c r="B252" s="14" t="s">
        <v>27</v>
      </c>
      <c r="C252" s="15" t="str">
        <f>"5/2012-D-SAMSUNG-10"</f>
        <v>5/2012-D-SAMSUNG-10</v>
      </c>
      <c r="D252" s="15" t="str">
        <f t="shared" si="17"/>
        <v>1. GORNJI GRAD D.O.O.
2. Zajednica ponuditelja: 
    BIRODOM D.O.O.
    STUBLIĆ IMPEX D.O.O.
3. Zajednica ponuditelja: 
    NARODNE NOVINE D.D.
    ZVIBOR D.O.O.</v>
      </c>
      <c r="E252" s="16">
        <v>41705</v>
      </c>
      <c r="F252" s="22">
        <v>42070</v>
      </c>
      <c r="G252" s="13">
        <v>2004448</v>
      </c>
      <c r="H252" s="22">
        <v>42070</v>
      </c>
      <c r="I252" s="13">
        <v>1552680</v>
      </c>
      <c r="J252" s="13">
        <f t="shared" si="15"/>
        <v>1940850</v>
      </c>
      <c r="K252" s="6"/>
    </row>
    <row r="253" spans="1:11" ht="120" x14ac:dyDescent="0.25">
      <c r="A253" s="3">
        <v>29</v>
      </c>
      <c r="B253" s="14" t="s">
        <v>55</v>
      </c>
      <c r="C253" s="15" t="str">
        <f>"32-112-13(5/2012-D)-2"</f>
        <v>32-112-13(5/2012-D)-2</v>
      </c>
      <c r="D253" s="15" t="str">
        <f t="shared" si="17"/>
        <v>1. GORNJI GRAD D.O.O.
2. Zajednica ponuditelja: 
    BIRODOM D.O.O.
    STUBLIĆ IMPEX D.O.O.
3. Zajednica ponuditelja: 
    NARODNE NOVINE D.D.
    ZVIBOR D.O.O.</v>
      </c>
      <c r="E253" s="16">
        <v>41401</v>
      </c>
      <c r="F253" s="22">
        <v>42397</v>
      </c>
      <c r="G253" s="13">
        <v>623033</v>
      </c>
      <c r="H253" s="22">
        <v>42397</v>
      </c>
      <c r="I253" s="13">
        <v>7783</v>
      </c>
      <c r="J253" s="13">
        <f t="shared" si="15"/>
        <v>9728.75</v>
      </c>
      <c r="K253" s="6"/>
    </row>
    <row r="254" spans="1:11" ht="7.5" customHeight="1" x14ac:dyDescent="0.25"/>
    <row r="255" spans="1:11" ht="42" customHeight="1" x14ac:dyDescent="0.25">
      <c r="A255" s="1" t="s">
        <v>0</v>
      </c>
      <c r="B255" s="2" t="s">
        <v>1</v>
      </c>
      <c r="C255" s="2" t="s">
        <v>6</v>
      </c>
      <c r="D255" s="2" t="s">
        <v>2</v>
      </c>
      <c r="E255" s="2" t="s">
        <v>3</v>
      </c>
      <c r="F255" s="2" t="s">
        <v>7</v>
      </c>
      <c r="G255" s="2" t="s">
        <v>8</v>
      </c>
      <c r="H255" s="2" t="s">
        <v>4</v>
      </c>
      <c r="I255" s="2" t="s">
        <v>5</v>
      </c>
    </row>
    <row r="256" spans="1:11" x14ac:dyDescent="0.25">
      <c r="A256" s="3">
        <v>1</v>
      </c>
      <c r="B256" s="6" t="s">
        <v>661</v>
      </c>
      <c r="C256" s="3" t="s">
        <v>142</v>
      </c>
      <c r="D256" s="3" t="s">
        <v>686</v>
      </c>
      <c r="E256" s="3" t="s">
        <v>24</v>
      </c>
      <c r="F256" s="21">
        <v>41430</v>
      </c>
      <c r="G256" s="3" t="s">
        <v>116</v>
      </c>
      <c r="H256" s="7">
        <v>7000000</v>
      </c>
      <c r="I256" s="7">
        <v>6480216.3799999999</v>
      </c>
    </row>
    <row r="257" spans="1:11" x14ac:dyDescent="0.25">
      <c r="A257" s="42" t="s">
        <v>706</v>
      </c>
      <c r="B257" s="43"/>
      <c r="C257" s="43"/>
      <c r="D257" s="43"/>
      <c r="E257" s="43"/>
      <c r="F257" s="43"/>
      <c r="G257" s="43"/>
      <c r="H257" s="44"/>
      <c r="I257" s="7">
        <v>1361800.83</v>
      </c>
    </row>
    <row r="258" spans="1:11" ht="7.5" customHeight="1" x14ac:dyDescent="0.25"/>
    <row r="259" spans="1:11" x14ac:dyDescent="0.25">
      <c r="A259" s="46" t="s">
        <v>20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11" ht="63.75" customHeight="1" x14ac:dyDescent="0.25">
      <c r="A260" s="4" t="s">
        <v>0</v>
      </c>
      <c r="B260" s="5" t="s">
        <v>10</v>
      </c>
      <c r="C260" s="5" t="s">
        <v>9</v>
      </c>
      <c r="D260" s="5" t="s">
        <v>13</v>
      </c>
      <c r="E260" s="5" t="s">
        <v>12</v>
      </c>
      <c r="F260" s="5" t="s">
        <v>11</v>
      </c>
      <c r="G260" s="5" t="s">
        <v>18</v>
      </c>
      <c r="H260" s="5" t="s">
        <v>14</v>
      </c>
      <c r="I260" s="5" t="s">
        <v>15</v>
      </c>
      <c r="J260" s="5" t="s">
        <v>16</v>
      </c>
      <c r="K260" s="5" t="s">
        <v>17</v>
      </c>
    </row>
    <row r="261" spans="1:11" ht="24" x14ac:dyDescent="0.25">
      <c r="A261" s="3">
        <v>1</v>
      </c>
      <c r="B261" s="14" t="s">
        <v>37</v>
      </c>
      <c r="C261" s="15" t="str">
        <f>"5/2012-E-101"</f>
        <v>5/2012-E-101</v>
      </c>
      <c r="D261" s="15" t="str">
        <f>CONCATENATE("DINARID D.O.O.")</f>
        <v>DINARID D.O.O.</v>
      </c>
      <c r="E261" s="16">
        <v>42339</v>
      </c>
      <c r="F261" s="22">
        <v>42369</v>
      </c>
      <c r="G261" s="13">
        <v>1750</v>
      </c>
      <c r="H261" s="22">
        <v>42369</v>
      </c>
      <c r="I261" s="13">
        <v>0</v>
      </c>
      <c r="J261" s="13">
        <f>I261*1.25</f>
        <v>0</v>
      </c>
      <c r="K261" s="6"/>
    </row>
    <row r="262" spans="1:11" ht="36" x14ac:dyDescent="0.25">
      <c r="A262" s="3">
        <v>2</v>
      </c>
      <c r="B262" s="14" t="s">
        <v>34</v>
      </c>
      <c r="C262" s="15" t="str">
        <f>"NAR/2015-E"</f>
        <v>NAR/2015-E</v>
      </c>
      <c r="D262" s="15" t="str">
        <f>CONCATENATE("DINARID D.O.O.")</f>
        <v>DINARID D.O.O.</v>
      </c>
      <c r="E262" s="16">
        <v>42005</v>
      </c>
      <c r="F262" s="22">
        <v>42369</v>
      </c>
      <c r="G262" s="13">
        <v>3788</v>
      </c>
      <c r="H262" s="22">
        <v>42369</v>
      </c>
      <c r="I262" s="13">
        <v>3788</v>
      </c>
      <c r="J262" s="13">
        <f t="shared" ref="J262:J294" si="18">I262*1.25</f>
        <v>4735</v>
      </c>
      <c r="K262" s="6"/>
    </row>
    <row r="263" spans="1:11" ht="24" x14ac:dyDescent="0.25">
      <c r="A263" s="3">
        <v>3</v>
      </c>
      <c r="B263" s="14" t="s">
        <v>31</v>
      </c>
      <c r="C263" s="15" t="str">
        <f>"NAR2015-LR5"</f>
        <v>NAR2015-LR5</v>
      </c>
      <c r="D263" s="15" t="str">
        <f>CONCATENATE("DINARID D.O.O.")</f>
        <v>DINARID D.O.O.</v>
      </c>
      <c r="E263" s="16">
        <v>42369</v>
      </c>
      <c r="F263" s="22"/>
      <c r="G263" s="13">
        <v>2857.64</v>
      </c>
      <c r="H263" s="22"/>
      <c r="I263" s="13">
        <v>2857.64</v>
      </c>
      <c r="J263" s="13">
        <f t="shared" si="18"/>
        <v>3572.0499999999997</v>
      </c>
      <c r="K263" s="6"/>
    </row>
    <row r="264" spans="1:11" x14ac:dyDescent="0.25">
      <c r="A264" s="3">
        <v>4</v>
      </c>
      <c r="B264" s="14" t="s">
        <v>42</v>
      </c>
      <c r="C264" s="15" t="str">
        <f>"NND-202-15-096"</f>
        <v>NND-202-15-096</v>
      </c>
      <c r="D264" s="15" t="str">
        <f>CONCATENATE("BIRODOM D.O.O.")</f>
        <v>BIRODOM D.O.O.</v>
      </c>
      <c r="E264" s="16">
        <v>42138</v>
      </c>
      <c r="F264" s="22">
        <v>42144</v>
      </c>
      <c r="G264" s="13">
        <v>5920</v>
      </c>
      <c r="H264" s="22">
        <v>42144</v>
      </c>
      <c r="I264" s="13">
        <v>5590</v>
      </c>
      <c r="J264" s="13">
        <f t="shared" si="18"/>
        <v>6987.5</v>
      </c>
      <c r="K264" s="6"/>
    </row>
    <row r="265" spans="1:11" ht="24" x14ac:dyDescent="0.25">
      <c r="A265" s="3">
        <v>5</v>
      </c>
      <c r="B265" s="14" t="s">
        <v>32</v>
      </c>
      <c r="C265" s="15" t="str">
        <f>"920-07/13-13/33"</f>
        <v>920-07/13-13/33</v>
      </c>
      <c r="D265" s="15" t="str">
        <f>CONCATENATE("MAKROMIKRO D.O.O.")</f>
        <v>MAKROMIKRO D.O.O.</v>
      </c>
      <c r="E265" s="16">
        <v>41571</v>
      </c>
      <c r="F265" s="22"/>
      <c r="G265" s="13">
        <v>19699.8</v>
      </c>
      <c r="H265" s="22"/>
      <c r="I265" s="13">
        <v>3120</v>
      </c>
      <c r="J265" s="13">
        <f t="shared" si="18"/>
        <v>3900</v>
      </c>
      <c r="K265" s="6"/>
    </row>
    <row r="266" spans="1:11" ht="24" x14ac:dyDescent="0.25">
      <c r="A266" s="3">
        <v>6</v>
      </c>
      <c r="B266" s="14" t="s">
        <v>45</v>
      </c>
      <c r="C266" s="15" t="str">
        <f>"5/2012-E-U3"</f>
        <v>5/2012-E-U3</v>
      </c>
      <c r="D266" s="15" t="str">
        <f>CONCATENATE("DINARID D.O.O.")</f>
        <v>DINARID D.O.O.</v>
      </c>
      <c r="E266" s="16">
        <v>42213</v>
      </c>
      <c r="F266" s="22"/>
      <c r="G266" s="13">
        <v>48173</v>
      </c>
      <c r="H266" s="22"/>
      <c r="I266" s="13">
        <v>13611</v>
      </c>
      <c r="J266" s="13">
        <f t="shared" si="18"/>
        <v>17013.75</v>
      </c>
      <c r="K266" s="6"/>
    </row>
    <row r="267" spans="1:11" ht="24" x14ac:dyDescent="0.25">
      <c r="A267" s="3">
        <v>7</v>
      </c>
      <c r="B267" s="14" t="s">
        <v>45</v>
      </c>
      <c r="C267" s="15" t="str">
        <f>"5/2012-E-U2"</f>
        <v>5/2012-E-U2</v>
      </c>
      <c r="D267" s="15" t="str">
        <f>CONCATENATE("DINARID D.O.O.")</f>
        <v>DINARID D.O.O.</v>
      </c>
      <c r="E267" s="16">
        <v>41926</v>
      </c>
      <c r="F267" s="22"/>
      <c r="G267" s="13">
        <v>22040</v>
      </c>
      <c r="H267" s="22"/>
      <c r="I267" s="13">
        <v>31616</v>
      </c>
      <c r="J267" s="13">
        <f t="shared" si="18"/>
        <v>39520</v>
      </c>
      <c r="K267" s="6"/>
    </row>
    <row r="268" spans="1:11" ht="24" x14ac:dyDescent="0.25">
      <c r="A268" s="3">
        <v>8</v>
      </c>
      <c r="B268" s="14" t="s">
        <v>47</v>
      </c>
      <c r="C268" s="15" t="str">
        <f>"76/2015/R"</f>
        <v>76/2015/R</v>
      </c>
      <c r="D268" s="15" t="str">
        <f>CONCATENATE("MAKROMIKRO D.O.O.")</f>
        <v>MAKROMIKRO D.O.O.</v>
      </c>
      <c r="E268" s="16">
        <v>42206</v>
      </c>
      <c r="F268" s="22"/>
      <c r="G268" s="13">
        <v>1254</v>
      </c>
      <c r="H268" s="22"/>
      <c r="I268" s="13">
        <v>1254</v>
      </c>
      <c r="J268" s="13">
        <f t="shared" si="18"/>
        <v>1567.5</v>
      </c>
      <c r="K268" s="6"/>
    </row>
    <row r="269" spans="1:11" ht="24" x14ac:dyDescent="0.25">
      <c r="A269" s="3">
        <v>9</v>
      </c>
      <c r="B269" s="14" t="s">
        <v>47</v>
      </c>
      <c r="C269" s="15" t="str">
        <f>"36/2015/R"</f>
        <v>36/2015/R</v>
      </c>
      <c r="D269" s="15" t="str">
        <f>CONCATENATE("DINARID D.O.O.")</f>
        <v>DINARID D.O.O.</v>
      </c>
      <c r="E269" s="16">
        <v>42074</v>
      </c>
      <c r="F269" s="22"/>
      <c r="G269" s="13">
        <v>1300.52</v>
      </c>
      <c r="H269" s="22"/>
      <c r="I269" s="13">
        <v>1300.52</v>
      </c>
      <c r="J269" s="13">
        <f t="shared" si="18"/>
        <v>1625.65</v>
      </c>
      <c r="K269" s="6"/>
    </row>
    <row r="270" spans="1:11" ht="24" x14ac:dyDescent="0.25">
      <c r="A270" s="3">
        <v>10</v>
      </c>
      <c r="B270" s="14" t="s">
        <v>47</v>
      </c>
      <c r="C270" s="15" t="str">
        <f>"34/2015/R"</f>
        <v>34/2015/R</v>
      </c>
      <c r="D270" s="15" t="str">
        <f>CONCATENATE("MAKROMIKRO D.O.O.")</f>
        <v>MAKROMIKRO D.O.O.</v>
      </c>
      <c r="E270" s="16">
        <v>42074</v>
      </c>
      <c r="F270" s="22"/>
      <c r="G270" s="13">
        <v>10428</v>
      </c>
      <c r="H270" s="22"/>
      <c r="I270" s="13">
        <v>10428</v>
      </c>
      <c r="J270" s="13">
        <f t="shared" si="18"/>
        <v>13035</v>
      </c>
      <c r="K270" s="6"/>
    </row>
    <row r="271" spans="1:11" ht="24" x14ac:dyDescent="0.25">
      <c r="A271" s="3">
        <v>11</v>
      </c>
      <c r="B271" s="14" t="s">
        <v>37</v>
      </c>
      <c r="C271" s="15" t="str">
        <f>"5/2012-E-74"</f>
        <v>5/2012-E-74</v>
      </c>
      <c r="D271" s="15" t="str">
        <f>CONCATENATE("BIRODOM D.O.O.")</f>
        <v>BIRODOM D.O.O.</v>
      </c>
      <c r="E271" s="16">
        <v>41971</v>
      </c>
      <c r="F271" s="22">
        <v>42335</v>
      </c>
      <c r="G271" s="13">
        <v>16990</v>
      </c>
      <c r="H271" s="22">
        <v>42335</v>
      </c>
      <c r="I271" s="13">
        <v>0</v>
      </c>
      <c r="J271" s="13">
        <f t="shared" si="18"/>
        <v>0</v>
      </c>
      <c r="K271" s="6"/>
    </row>
    <row r="272" spans="1:11" ht="132" x14ac:dyDescent="0.25">
      <c r="A272" s="3">
        <v>12</v>
      </c>
      <c r="B272" s="14" t="s">
        <v>44</v>
      </c>
      <c r="C272" s="15" t="str">
        <f>"5/2012-E-OSTALO-288"</f>
        <v>5/2012-E-OSTALO-288</v>
      </c>
      <c r="D272" s="15" t="str">
        <f t="shared" ref="D272:D286" si="19">CONCATENATE("1. Zajednica ponuditelja: ",CHAR(10),"    DINARID D.O.O.",CHAR(10),"    OSJEČKA TRGOVINA PAPIROM D.O.O.",CHAR(10),"    DALMAT D.O.O.",CHAR(10),"2. Zajednica ponuditelja: ",CHAR(10),"    BIRODOM D.O.O.",CHAR(10),"    STUBLIĆ IMPEX D.O.O.",CHAR(10),"3. MAKROMIKRO D.O.O.")</f>
        <v>1. Zajednica ponuditelja: 
    DINARID D.O.O.
    OSJEČKA TRGOVINA PAPIROM D.O.O.
    DALMAT D.O.O.
2. Zajednica ponuditelja: 
    BIRODOM D.O.O.
    STUBLIĆ IMPEX D.O.O.
3. MAKROMIKRO D.O.O.</v>
      </c>
      <c r="E272" s="16">
        <v>42359</v>
      </c>
      <c r="F272" s="22">
        <v>42526</v>
      </c>
      <c r="G272" s="13">
        <v>38443</v>
      </c>
      <c r="H272" s="22">
        <v>42526</v>
      </c>
      <c r="I272" s="13">
        <v>0</v>
      </c>
      <c r="J272" s="13">
        <f t="shared" si="18"/>
        <v>0</v>
      </c>
      <c r="K272" s="6"/>
    </row>
    <row r="273" spans="1:11" ht="132" x14ac:dyDescent="0.25">
      <c r="A273" s="3">
        <v>13</v>
      </c>
      <c r="B273" s="14" t="s">
        <v>25</v>
      </c>
      <c r="C273" s="15" t="str">
        <f>"5/2012-E-OSTALO-289"</f>
        <v>5/2012-E-OSTALO-289</v>
      </c>
      <c r="D273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3" s="16">
        <v>42359</v>
      </c>
      <c r="F273" s="22">
        <v>42525</v>
      </c>
      <c r="G273" s="13">
        <v>23449</v>
      </c>
      <c r="H273" s="22">
        <v>42525</v>
      </c>
      <c r="I273" s="13">
        <v>0</v>
      </c>
      <c r="J273" s="13">
        <f t="shared" si="18"/>
        <v>0</v>
      </c>
      <c r="K273" s="6"/>
    </row>
    <row r="274" spans="1:11" ht="132" x14ac:dyDescent="0.25">
      <c r="A274" s="3">
        <v>14</v>
      </c>
      <c r="B274" s="14" t="s">
        <v>41</v>
      </c>
      <c r="C274" s="15" t="str">
        <f>"5/DUSJN-15-E"</f>
        <v>5/DUSJN-15-E</v>
      </c>
      <c r="D274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4" s="16">
        <v>42345</v>
      </c>
      <c r="F274" s="22">
        <v>42711</v>
      </c>
      <c r="G274" s="13">
        <v>11348</v>
      </c>
      <c r="H274" s="22">
        <v>42711</v>
      </c>
      <c r="I274" s="13">
        <v>0</v>
      </c>
      <c r="J274" s="13">
        <f t="shared" si="18"/>
        <v>0</v>
      </c>
      <c r="K274" s="6"/>
    </row>
    <row r="275" spans="1:11" ht="132" x14ac:dyDescent="0.25">
      <c r="A275" s="3">
        <v>15</v>
      </c>
      <c r="B275" s="14" t="s">
        <v>42</v>
      </c>
      <c r="C275" s="15" t="str">
        <f>"SNUG-202-15-0069-1"</f>
        <v>SNUG-202-15-0069-1</v>
      </c>
      <c r="D275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5" s="16">
        <v>42324</v>
      </c>
      <c r="F275" s="22">
        <v>42369</v>
      </c>
      <c r="G275" s="13">
        <v>100615.8</v>
      </c>
      <c r="H275" s="22">
        <v>42369</v>
      </c>
      <c r="I275" s="13">
        <v>100615.8</v>
      </c>
      <c r="J275" s="13">
        <f t="shared" si="18"/>
        <v>125769.75</v>
      </c>
      <c r="K275" s="6"/>
    </row>
    <row r="276" spans="1:11" ht="132" x14ac:dyDescent="0.25">
      <c r="A276" s="3">
        <v>16</v>
      </c>
      <c r="B276" s="14" t="s">
        <v>42</v>
      </c>
      <c r="C276" s="15" t="str">
        <f>"SNUG-202-15-044-2"</f>
        <v>SNUG-202-15-044-2</v>
      </c>
      <c r="D276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6" s="16">
        <v>42215</v>
      </c>
      <c r="F276" s="22">
        <v>42369</v>
      </c>
      <c r="G276" s="13">
        <v>97243</v>
      </c>
      <c r="H276" s="22">
        <v>42369</v>
      </c>
      <c r="I276" s="13">
        <v>97243</v>
      </c>
      <c r="J276" s="13">
        <f t="shared" si="18"/>
        <v>121553.75</v>
      </c>
      <c r="K276" s="6"/>
    </row>
    <row r="277" spans="1:11" ht="132" x14ac:dyDescent="0.25">
      <c r="A277" s="3">
        <v>17</v>
      </c>
      <c r="B277" s="14" t="s">
        <v>29</v>
      </c>
      <c r="C277" s="15" t="str">
        <f>"5/2012-E-OSTALO-282"</f>
        <v>5/2012-E-OSTALO-282</v>
      </c>
      <c r="D277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7" s="16">
        <v>42208</v>
      </c>
      <c r="F277" s="22">
        <v>42526</v>
      </c>
      <c r="G277" s="13">
        <v>13540</v>
      </c>
      <c r="H277" s="22">
        <v>42526</v>
      </c>
      <c r="I277" s="13">
        <v>3723.5</v>
      </c>
      <c r="J277" s="13">
        <f t="shared" si="18"/>
        <v>4654.375</v>
      </c>
      <c r="K277" s="6"/>
    </row>
    <row r="278" spans="1:11" ht="132" x14ac:dyDescent="0.25">
      <c r="A278" s="3">
        <v>18</v>
      </c>
      <c r="B278" s="14" t="s">
        <v>35</v>
      </c>
      <c r="C278" s="15" t="str">
        <f>"124/2015"</f>
        <v>124/2015</v>
      </c>
      <c r="D278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8" s="16">
        <v>42179</v>
      </c>
      <c r="F278" s="22">
        <v>42526</v>
      </c>
      <c r="G278" s="13">
        <v>4638</v>
      </c>
      <c r="H278" s="22">
        <v>42526</v>
      </c>
      <c r="I278" s="13">
        <v>86200</v>
      </c>
      <c r="J278" s="13">
        <f t="shared" si="18"/>
        <v>107750</v>
      </c>
      <c r="K278" s="6"/>
    </row>
    <row r="279" spans="1:11" ht="132" x14ac:dyDescent="0.25">
      <c r="A279" s="3">
        <v>19</v>
      </c>
      <c r="B279" s="14" t="s">
        <v>39</v>
      </c>
      <c r="C279" s="15" t="str">
        <f>"2202/15"</f>
        <v>2202/15</v>
      </c>
      <c r="D279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79" s="16">
        <v>42139</v>
      </c>
      <c r="F279" s="22">
        <v>42170</v>
      </c>
      <c r="G279" s="13">
        <v>5100</v>
      </c>
      <c r="H279" s="22">
        <v>42170</v>
      </c>
      <c r="I279" s="13">
        <v>5100</v>
      </c>
      <c r="J279" s="13">
        <f t="shared" si="18"/>
        <v>6375</v>
      </c>
      <c r="K279" s="6"/>
    </row>
    <row r="280" spans="1:11" ht="132" x14ac:dyDescent="0.25">
      <c r="A280" s="3">
        <v>20</v>
      </c>
      <c r="B280" s="14" t="s">
        <v>42</v>
      </c>
      <c r="C280" s="15" t="str">
        <f>"SNUG-202-15-0038-2"</f>
        <v>SNUG-202-15-0038-2</v>
      </c>
      <c r="D280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0" s="16">
        <v>42135</v>
      </c>
      <c r="F280" s="22">
        <v>42196</v>
      </c>
      <c r="G280" s="13">
        <v>73908</v>
      </c>
      <c r="H280" s="22">
        <v>42196</v>
      </c>
      <c r="I280" s="13">
        <v>73908</v>
      </c>
      <c r="J280" s="13">
        <f t="shared" si="18"/>
        <v>92385</v>
      </c>
      <c r="K280" s="6"/>
    </row>
    <row r="281" spans="1:11" ht="132" x14ac:dyDescent="0.25">
      <c r="A281" s="3">
        <v>21</v>
      </c>
      <c r="B281" s="14" t="s">
        <v>30</v>
      </c>
      <c r="C281" s="15" t="str">
        <f>"510/7.A-A-0022/15-90"</f>
        <v>510/7.A-A-0022/15-90</v>
      </c>
      <c r="D281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1" s="16">
        <v>42110</v>
      </c>
      <c r="F281" s="22">
        <v>42476</v>
      </c>
      <c r="G281" s="13">
        <v>30968</v>
      </c>
      <c r="H281" s="22">
        <v>42476</v>
      </c>
      <c r="I281" s="13">
        <v>15630</v>
      </c>
      <c r="J281" s="13">
        <f t="shared" si="18"/>
        <v>19537.5</v>
      </c>
      <c r="K281" s="6"/>
    </row>
    <row r="282" spans="1:11" ht="132" x14ac:dyDescent="0.25">
      <c r="A282" s="3">
        <v>22</v>
      </c>
      <c r="B282" s="14" t="s">
        <v>53</v>
      </c>
      <c r="C282" s="15" t="str">
        <f>"5/2012-E-OSTALO-263"</f>
        <v>5/2012-E-OSTALO-263</v>
      </c>
      <c r="D282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2" s="16">
        <v>42089</v>
      </c>
      <c r="F282" s="22">
        <v>42369</v>
      </c>
      <c r="G282" s="13">
        <v>50187</v>
      </c>
      <c r="H282" s="22">
        <v>42369</v>
      </c>
      <c r="I282" s="13">
        <v>31478</v>
      </c>
      <c r="J282" s="13">
        <f t="shared" si="18"/>
        <v>39347.5</v>
      </c>
      <c r="K282" s="6"/>
    </row>
    <row r="283" spans="1:11" ht="132" x14ac:dyDescent="0.25">
      <c r="A283" s="3">
        <v>23</v>
      </c>
      <c r="B283" s="14" t="s">
        <v>42</v>
      </c>
      <c r="C283" s="15" t="str">
        <f>"SNUG-202-15-0012-1"</f>
        <v>SNUG-202-15-0012-1</v>
      </c>
      <c r="D283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3" s="16">
        <v>42074</v>
      </c>
      <c r="F283" s="22">
        <v>42135</v>
      </c>
      <c r="G283" s="13">
        <v>89927.87</v>
      </c>
      <c r="H283" s="22">
        <v>42135</v>
      </c>
      <c r="I283" s="13">
        <v>89972.87</v>
      </c>
      <c r="J283" s="13">
        <f t="shared" si="18"/>
        <v>112466.08749999999</v>
      </c>
      <c r="K283" s="6"/>
    </row>
    <row r="284" spans="1:11" ht="132" x14ac:dyDescent="0.25">
      <c r="A284" s="3">
        <v>24</v>
      </c>
      <c r="B284" s="14" t="s">
        <v>62</v>
      </c>
      <c r="C284" s="15" t="str">
        <f>"5/2012-E-OSTALO-261"</f>
        <v>5/2012-E-OSTALO-261</v>
      </c>
      <c r="D284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4" s="16">
        <v>42073</v>
      </c>
      <c r="F284" s="22">
        <v>42369</v>
      </c>
      <c r="G284" s="13">
        <v>4080</v>
      </c>
      <c r="H284" s="22">
        <v>42369</v>
      </c>
      <c r="I284" s="13">
        <v>0</v>
      </c>
      <c r="J284" s="13">
        <f t="shared" si="18"/>
        <v>0</v>
      </c>
      <c r="K284" s="6"/>
    </row>
    <row r="285" spans="1:11" ht="132" x14ac:dyDescent="0.25">
      <c r="A285" s="3">
        <v>25</v>
      </c>
      <c r="B285" s="14" t="s">
        <v>26</v>
      </c>
      <c r="C285" s="15" t="str">
        <f>"31-2015"</f>
        <v>31-2015</v>
      </c>
      <c r="D285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5" s="16">
        <v>42039</v>
      </c>
      <c r="F285" s="22">
        <v>42369</v>
      </c>
      <c r="G285" s="13">
        <v>18140</v>
      </c>
      <c r="H285" s="22">
        <v>42369</v>
      </c>
      <c r="I285" s="13">
        <v>17999.400000000001</v>
      </c>
      <c r="J285" s="13">
        <f t="shared" si="18"/>
        <v>22499.25</v>
      </c>
      <c r="K285" s="6"/>
    </row>
    <row r="286" spans="1:11" ht="132" x14ac:dyDescent="0.25">
      <c r="A286" s="3">
        <v>26</v>
      </c>
      <c r="B286" s="14" t="s">
        <v>25</v>
      </c>
      <c r="C286" s="15" t="str">
        <f>"5/2012-E-OSTALO-238"</f>
        <v>5/2012-E-OSTALO-238</v>
      </c>
      <c r="D286" s="15" t="str">
        <f t="shared" si="19"/>
        <v>1. Zajednica ponuditelja: 
    DINARID D.O.O.
    OSJEČKA TRGOVINA PAPIROM D.O.O.
    DALMAT D.O.O.
2. Zajednica ponuditelja: 
    BIRODOM D.O.O.
    STUBLIĆ IMPEX D.O.O.
3. MAKROMIKRO D.O.O.</v>
      </c>
      <c r="E286" s="16">
        <v>42011</v>
      </c>
      <c r="F286" s="22">
        <v>42369</v>
      </c>
      <c r="G286" s="13">
        <v>18850</v>
      </c>
      <c r="H286" s="22">
        <v>42369</v>
      </c>
      <c r="I286" s="13">
        <v>15852</v>
      </c>
      <c r="J286" s="13">
        <f t="shared" si="18"/>
        <v>19815</v>
      </c>
      <c r="K286" s="6"/>
    </row>
    <row r="287" spans="1:11" ht="24" x14ac:dyDescent="0.25">
      <c r="A287" s="3">
        <v>27</v>
      </c>
      <c r="B287" s="14" t="s">
        <v>61</v>
      </c>
      <c r="C287" s="15" t="str">
        <f>"5/2012-E"</f>
        <v>5/2012-E</v>
      </c>
      <c r="D287" s="15" t="str">
        <f>CONCATENATE("STUBLIĆ IMPEX D.O.O.")</f>
        <v>STUBLIĆ IMPEX D.O.O.</v>
      </c>
      <c r="E287" s="16">
        <v>42005</v>
      </c>
      <c r="F287" s="22">
        <v>42369</v>
      </c>
      <c r="G287" s="13">
        <v>12523</v>
      </c>
      <c r="H287" s="22">
        <v>42369</v>
      </c>
      <c r="I287" s="13">
        <v>12523</v>
      </c>
      <c r="J287" s="13">
        <f t="shared" si="18"/>
        <v>15653.75</v>
      </c>
      <c r="K287" s="6"/>
    </row>
    <row r="288" spans="1:11" ht="132" x14ac:dyDescent="0.25">
      <c r="A288" s="3">
        <v>28</v>
      </c>
      <c r="B288" s="14" t="s">
        <v>27</v>
      </c>
      <c r="C288" s="15" t="str">
        <f>"5/2012-E-OSTALO-237"</f>
        <v>5/2012-E-OSTALO-237</v>
      </c>
      <c r="D288" s="15" t="str">
        <f t="shared" ref="D288:D294" si="20">CONCATENATE("1. Zajednica ponuditelja: ",CHAR(10),"    DINARID D.O.O.",CHAR(10),"    OSJEČKA TRGOVINA PAPIROM D.O.O.",CHAR(10),"    DALMAT D.O.O.",CHAR(10),"2. Zajednica ponuditelja: ",CHAR(10),"    BIRODOM D.O.O.",CHAR(10),"    STUBLIĆ IMPEX D.O.O.",CHAR(10),"3. MAKROMIKRO D.O.O.")</f>
        <v>1. Zajednica ponuditelja: 
    DINARID D.O.O.
    OSJEČKA TRGOVINA PAPIROM D.O.O.
    DALMAT D.O.O.
2. Zajednica ponuditelja: 
    BIRODOM D.O.O.
    STUBLIĆ IMPEX D.O.O.
3. MAKROMIKRO D.O.O.</v>
      </c>
      <c r="E288" s="16">
        <v>41989</v>
      </c>
      <c r="F288" s="22">
        <v>42354</v>
      </c>
      <c r="G288" s="13">
        <v>622581.80000000005</v>
      </c>
      <c r="H288" s="22">
        <v>42354</v>
      </c>
      <c r="I288" s="13">
        <v>493538</v>
      </c>
      <c r="J288" s="13">
        <f t="shared" si="18"/>
        <v>616922.5</v>
      </c>
      <c r="K288" s="6"/>
    </row>
    <row r="289" spans="1:11" ht="132" x14ac:dyDescent="0.25">
      <c r="A289" s="3">
        <v>29</v>
      </c>
      <c r="B289" s="14" t="s">
        <v>44</v>
      </c>
      <c r="C289" s="15" t="str">
        <f>"5/2012-E-OSTALO-243"</f>
        <v>5/2012-E-OSTALO-243</v>
      </c>
      <c r="D289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89" s="16">
        <v>41975</v>
      </c>
      <c r="F289" s="22">
        <v>42340</v>
      </c>
      <c r="G289" s="13">
        <v>85251.25</v>
      </c>
      <c r="H289" s="22">
        <v>42340</v>
      </c>
      <c r="I289" s="13">
        <v>109542.1</v>
      </c>
      <c r="J289" s="13">
        <f t="shared" si="18"/>
        <v>136927.625</v>
      </c>
      <c r="K289" s="6"/>
    </row>
    <row r="290" spans="1:11" ht="132" x14ac:dyDescent="0.25">
      <c r="A290" s="3">
        <v>30</v>
      </c>
      <c r="B290" s="14" t="s">
        <v>41</v>
      </c>
      <c r="C290" s="15" t="str">
        <f>"5/DUSJN-14-E"</f>
        <v>5/DUSJN-14-E</v>
      </c>
      <c r="D290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90" s="16">
        <v>41974</v>
      </c>
      <c r="F290" s="22">
        <v>42339</v>
      </c>
      <c r="G290" s="13">
        <v>23485</v>
      </c>
      <c r="H290" s="22">
        <v>42339</v>
      </c>
      <c r="I290" s="13">
        <v>11268</v>
      </c>
      <c r="J290" s="13">
        <f t="shared" si="18"/>
        <v>14085</v>
      </c>
      <c r="K290" s="6"/>
    </row>
    <row r="291" spans="1:11" ht="132" x14ac:dyDescent="0.25">
      <c r="A291" s="3">
        <v>31</v>
      </c>
      <c r="B291" s="14" t="s">
        <v>36</v>
      </c>
      <c r="C291" s="15" t="str">
        <f>"5/2012-E-OSTALO-180"</f>
        <v>5/2012-E-OSTALO-180</v>
      </c>
      <c r="D291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91" s="16">
        <v>41927</v>
      </c>
      <c r="F291" s="22">
        <v>42526</v>
      </c>
      <c r="G291" s="13">
        <v>230925</v>
      </c>
      <c r="H291" s="22">
        <v>42526</v>
      </c>
      <c r="I291" s="13">
        <v>68701</v>
      </c>
      <c r="J291" s="13">
        <f t="shared" si="18"/>
        <v>85876.25</v>
      </c>
      <c r="K291" s="6"/>
    </row>
    <row r="292" spans="1:11" ht="132" x14ac:dyDescent="0.25">
      <c r="A292" s="3">
        <v>32</v>
      </c>
      <c r="B292" s="14" t="s">
        <v>29</v>
      </c>
      <c r="C292" s="15" t="str">
        <f>"5/2012-E-OSTALO-162"</f>
        <v>5/2012-E-OSTALO-162</v>
      </c>
      <c r="D292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92" s="16">
        <v>41845</v>
      </c>
      <c r="F292" s="22">
        <v>42210</v>
      </c>
      <c r="G292" s="13">
        <v>14800</v>
      </c>
      <c r="H292" s="22">
        <v>42210</v>
      </c>
      <c r="I292" s="13">
        <v>7770</v>
      </c>
      <c r="J292" s="13">
        <f t="shared" si="18"/>
        <v>9712.5</v>
      </c>
      <c r="K292" s="6"/>
    </row>
    <row r="293" spans="1:11" ht="132" x14ac:dyDescent="0.25">
      <c r="A293" s="3">
        <v>33</v>
      </c>
      <c r="B293" s="14" t="s">
        <v>35</v>
      </c>
      <c r="C293" s="15" t="str">
        <f>"182/2014"</f>
        <v>182/2014</v>
      </c>
      <c r="D293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93" s="16">
        <v>41820</v>
      </c>
      <c r="F293" s="22">
        <v>42185</v>
      </c>
      <c r="G293" s="13">
        <v>5138</v>
      </c>
      <c r="H293" s="22">
        <v>42185</v>
      </c>
      <c r="I293" s="13">
        <v>18479</v>
      </c>
      <c r="J293" s="13">
        <f t="shared" si="18"/>
        <v>23098.75</v>
      </c>
      <c r="K293" s="6"/>
    </row>
    <row r="294" spans="1:11" ht="132" x14ac:dyDescent="0.25">
      <c r="A294" s="3">
        <v>34</v>
      </c>
      <c r="B294" s="14" t="s">
        <v>55</v>
      </c>
      <c r="C294" s="15" t="str">
        <f>"32-112-13(5/2012-E)-6"</f>
        <v>32-112-13(5/2012-E)-6</v>
      </c>
      <c r="D294" s="15" t="str">
        <f t="shared" si="20"/>
        <v>1. Zajednica ponuditelja: 
    DINARID D.O.O.
    OSJEČKA TRGOVINA PAPIROM D.O.O.
    DALMAT D.O.O.
2. Zajednica ponuditelja: 
    BIRODOM D.O.O.
    STUBLIĆ IMPEX D.O.O.
3. MAKROMIKRO D.O.O.</v>
      </c>
      <c r="E294" s="16">
        <v>41499</v>
      </c>
      <c r="F294" s="22">
        <v>42526</v>
      </c>
      <c r="G294" s="13">
        <v>106445</v>
      </c>
      <c r="H294" s="22">
        <v>42526</v>
      </c>
      <c r="I294" s="13">
        <v>28692</v>
      </c>
      <c r="J294" s="13">
        <f t="shared" si="18"/>
        <v>35865</v>
      </c>
      <c r="K294" s="6"/>
    </row>
    <row r="295" spans="1:11" ht="7.5" customHeight="1" x14ac:dyDescent="0.25"/>
    <row r="296" spans="1:11" ht="42" customHeight="1" x14ac:dyDescent="0.25">
      <c r="A296" s="1" t="s">
        <v>0</v>
      </c>
      <c r="B296" s="2" t="s">
        <v>1</v>
      </c>
      <c r="C296" s="2" t="s">
        <v>6</v>
      </c>
      <c r="D296" s="2" t="s">
        <v>2</v>
      </c>
      <c r="E296" s="2" t="s">
        <v>3</v>
      </c>
      <c r="F296" s="2" t="s">
        <v>7</v>
      </c>
      <c r="G296" s="2" t="s">
        <v>8</v>
      </c>
      <c r="H296" s="2" t="s">
        <v>4</v>
      </c>
      <c r="I296" s="2" t="s">
        <v>5</v>
      </c>
    </row>
    <row r="297" spans="1:11" x14ac:dyDescent="0.25">
      <c r="A297" s="3">
        <v>1</v>
      </c>
      <c r="B297" s="6" t="s">
        <v>661</v>
      </c>
      <c r="C297" s="3" t="s">
        <v>143</v>
      </c>
      <c r="D297" s="3" t="s">
        <v>686</v>
      </c>
      <c r="E297" s="3" t="s">
        <v>24</v>
      </c>
      <c r="F297" s="21">
        <v>41302</v>
      </c>
      <c r="G297" s="3" t="s">
        <v>116</v>
      </c>
      <c r="H297" s="7">
        <v>1155000</v>
      </c>
      <c r="I297" s="7">
        <v>452876.95</v>
      </c>
    </row>
    <row r="298" spans="1:11" x14ac:dyDescent="0.25">
      <c r="A298" s="42" t="s">
        <v>706</v>
      </c>
      <c r="B298" s="43"/>
      <c r="C298" s="43"/>
      <c r="D298" s="43"/>
      <c r="E298" s="43"/>
      <c r="F298" s="43"/>
      <c r="G298" s="43"/>
      <c r="H298" s="44"/>
      <c r="I298" s="7">
        <v>55809.5</v>
      </c>
    </row>
    <row r="299" spans="1:11" ht="7.5" customHeight="1" x14ac:dyDescent="0.25"/>
    <row r="300" spans="1:11" x14ac:dyDescent="0.25">
      <c r="A300" s="46" t="s">
        <v>20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</row>
    <row r="301" spans="1:11" ht="63.75" customHeight="1" x14ac:dyDescent="0.25">
      <c r="A301" s="4" t="s">
        <v>0</v>
      </c>
      <c r="B301" s="5" t="s">
        <v>10</v>
      </c>
      <c r="C301" s="5" t="s">
        <v>9</v>
      </c>
      <c r="D301" s="5" t="s">
        <v>13</v>
      </c>
      <c r="E301" s="5" t="s">
        <v>12</v>
      </c>
      <c r="F301" s="5" t="s">
        <v>11</v>
      </c>
      <c r="G301" s="5" t="s">
        <v>18</v>
      </c>
      <c r="H301" s="5" t="s">
        <v>14</v>
      </c>
      <c r="I301" s="5" t="s">
        <v>15</v>
      </c>
      <c r="J301" s="5" t="s">
        <v>16</v>
      </c>
      <c r="K301" s="5" t="s">
        <v>17</v>
      </c>
    </row>
    <row r="302" spans="1:11" ht="24" x14ac:dyDescent="0.25">
      <c r="A302" s="3">
        <v>1</v>
      </c>
      <c r="B302" s="14" t="s">
        <v>37</v>
      </c>
      <c r="C302" s="15" t="str">
        <f>"5/2012-F-75"</f>
        <v>5/2012-F-75</v>
      </c>
      <c r="D302" s="15" t="str">
        <f>CONCATENATE("BIRODOM D.O.O.")</f>
        <v>BIRODOM D.O.O.</v>
      </c>
      <c r="E302" s="16">
        <v>41970</v>
      </c>
      <c r="F302" s="22"/>
      <c r="G302" s="13">
        <v>1860</v>
      </c>
      <c r="H302" s="22"/>
      <c r="I302" s="13">
        <v>1860</v>
      </c>
      <c r="J302" s="13">
        <f>I302*1.25</f>
        <v>2325</v>
      </c>
      <c r="K302" s="6"/>
    </row>
    <row r="303" spans="1:11" ht="24" x14ac:dyDescent="0.25">
      <c r="A303" s="3">
        <v>2</v>
      </c>
      <c r="B303" s="14" t="s">
        <v>31</v>
      </c>
      <c r="C303" s="15" t="str">
        <f>"NAR2015-LR6"</f>
        <v>NAR2015-LR6</v>
      </c>
      <c r="D303" s="15" t="str">
        <f>CONCATENATE("MAKROMIKRO D.O.O.")</f>
        <v>MAKROMIKRO D.O.O.</v>
      </c>
      <c r="E303" s="16">
        <v>42369</v>
      </c>
      <c r="F303" s="22"/>
      <c r="G303" s="13">
        <v>941.5</v>
      </c>
      <c r="H303" s="22"/>
      <c r="I303" s="13">
        <v>941.5</v>
      </c>
      <c r="J303" s="13">
        <f t="shared" ref="J303:J319" si="21">I303*1.25</f>
        <v>1176.875</v>
      </c>
      <c r="K303" s="6"/>
    </row>
    <row r="304" spans="1:11" ht="36" x14ac:dyDescent="0.25">
      <c r="A304" s="3">
        <v>3</v>
      </c>
      <c r="B304" s="14" t="s">
        <v>34</v>
      </c>
      <c r="C304" s="15" t="str">
        <f>"NAR/2015-F"</f>
        <v>NAR/2015-F</v>
      </c>
      <c r="D304" s="15" t="str">
        <f>CONCATENATE("BIRODOM D.O.O.")</f>
        <v>BIRODOM D.O.O.</v>
      </c>
      <c r="E304" s="16">
        <v>42005</v>
      </c>
      <c r="F304" s="22">
        <v>42369</v>
      </c>
      <c r="G304" s="13">
        <v>372</v>
      </c>
      <c r="H304" s="22">
        <v>42369</v>
      </c>
      <c r="I304" s="13">
        <v>372</v>
      </c>
      <c r="J304" s="13">
        <f t="shared" si="21"/>
        <v>465</v>
      </c>
      <c r="K304" s="6"/>
    </row>
    <row r="305" spans="1:11" ht="120" x14ac:dyDescent="0.25">
      <c r="A305" s="3">
        <v>4</v>
      </c>
      <c r="B305" s="14" t="s">
        <v>29</v>
      </c>
      <c r="C305" s="15" t="str">
        <f>"5/2012-F-ZAMJENSKI-282"</f>
        <v>5/2012-F-ZAMJENSKI-282</v>
      </c>
      <c r="D305" s="15" t="str">
        <f t="shared" ref="D305:D319" si="22">CONCATENATE("1. Zajednica ponuditelja: ",CHAR(10),"    BIRODOM D.O.O.",CHAR(10),"    STUBLIĆ IMPEX D.O.O.",CHAR(10),"2. Zajednica ponuditelja: ",CHAR(10),"    NARODNE NOVINE D.D.",CHAR(10),"    ZVIBOR D.O.O.",CHAR(10),"3. MAKROMIKRO D.O.O.")</f>
        <v>1. Zajednica ponuditelja: 
    BIRODOM D.O.O.
    STUBLIĆ IMPEX D.O.O.
2. Zajednica ponuditelja: 
    NARODNE NOVINE D.D.
    ZVIBOR D.O.O.
3. MAKROMIKRO D.O.O.</v>
      </c>
      <c r="E305" s="16">
        <v>42334</v>
      </c>
      <c r="F305" s="22">
        <v>42397</v>
      </c>
      <c r="G305" s="13">
        <v>930</v>
      </c>
      <c r="H305" s="22">
        <v>42397</v>
      </c>
      <c r="I305" s="13">
        <v>0</v>
      </c>
      <c r="J305" s="13">
        <f t="shared" si="21"/>
        <v>0</v>
      </c>
      <c r="K305" s="6"/>
    </row>
    <row r="306" spans="1:11" ht="120" x14ac:dyDescent="0.25">
      <c r="A306" s="3">
        <v>5</v>
      </c>
      <c r="B306" s="14" t="s">
        <v>42</v>
      </c>
      <c r="C306" s="15" t="str">
        <f>"SNUG-202-15-0069-2"</f>
        <v>SNUG-202-15-0069-2</v>
      </c>
      <c r="D306" s="15" t="str">
        <f t="shared" si="22"/>
        <v>1. Zajednica ponuditelja: 
    BIRODOM D.O.O.
    STUBLIĆ IMPEX D.O.O.
2. Zajednica ponuditelja: 
    NARODNE NOVINE D.D.
    ZVIBOR D.O.O.
3. MAKROMIKRO D.O.O.</v>
      </c>
      <c r="E306" s="16">
        <v>42324</v>
      </c>
      <c r="F306" s="22">
        <v>42369</v>
      </c>
      <c r="G306" s="13">
        <v>12144</v>
      </c>
      <c r="H306" s="22">
        <v>42369</v>
      </c>
      <c r="I306" s="13">
        <v>12144</v>
      </c>
      <c r="J306" s="13">
        <f t="shared" si="21"/>
        <v>15180</v>
      </c>
      <c r="K306" s="6"/>
    </row>
    <row r="307" spans="1:11" ht="120" x14ac:dyDescent="0.25">
      <c r="A307" s="3">
        <v>6</v>
      </c>
      <c r="B307" s="14" t="s">
        <v>42</v>
      </c>
      <c r="C307" s="15" t="str">
        <f>"SNUG-202-15-046-3"</f>
        <v>SNUG-202-15-046-3</v>
      </c>
      <c r="D307" s="15" t="str">
        <f t="shared" si="22"/>
        <v>1. Zajednica ponuditelja: 
    BIRODOM D.O.O.
    STUBLIĆ IMPEX D.O.O.
2. Zajednica ponuditelja: 
    NARODNE NOVINE D.D.
    ZVIBOR D.O.O.
3. MAKROMIKRO D.O.O.</v>
      </c>
      <c r="E307" s="16">
        <v>42219</v>
      </c>
      <c r="F307" s="22">
        <v>42369</v>
      </c>
      <c r="G307" s="13">
        <v>10920</v>
      </c>
      <c r="H307" s="22">
        <v>42369</v>
      </c>
      <c r="I307" s="13">
        <v>10920</v>
      </c>
      <c r="J307" s="13">
        <f t="shared" si="21"/>
        <v>13650</v>
      </c>
      <c r="K307" s="6"/>
    </row>
    <row r="308" spans="1:11" ht="120" x14ac:dyDescent="0.25">
      <c r="A308" s="3">
        <v>7</v>
      </c>
      <c r="B308" s="14" t="s">
        <v>35</v>
      </c>
      <c r="C308" s="15" t="str">
        <f>"93/15"</f>
        <v>93/15</v>
      </c>
      <c r="D308" s="15" t="str">
        <f t="shared" si="22"/>
        <v>1. Zajednica ponuditelja: 
    BIRODOM D.O.O.
    STUBLIĆ IMPEX D.O.O.
2. Zajednica ponuditelja: 
    NARODNE NOVINE D.D.
    ZVIBOR D.O.O.
3. MAKROMIKRO D.O.O.</v>
      </c>
      <c r="E308" s="16">
        <v>42132</v>
      </c>
      <c r="F308" s="22">
        <v>42490</v>
      </c>
      <c r="G308" s="13">
        <v>3740</v>
      </c>
      <c r="H308" s="22">
        <v>42490</v>
      </c>
      <c r="I308" s="13">
        <v>3822</v>
      </c>
      <c r="J308" s="13">
        <f t="shared" si="21"/>
        <v>4777.5</v>
      </c>
      <c r="K308" s="6"/>
    </row>
    <row r="309" spans="1:11" ht="120" x14ac:dyDescent="0.25">
      <c r="A309" s="3">
        <v>8</v>
      </c>
      <c r="B309" s="14" t="s">
        <v>42</v>
      </c>
      <c r="C309" s="15" t="str">
        <f>"SNUG-202-15-0037-1-F"</f>
        <v>SNUG-202-15-0037-1-F</v>
      </c>
      <c r="D309" s="15" t="str">
        <f t="shared" si="22"/>
        <v>1. Zajednica ponuditelja: 
    BIRODOM D.O.O.
    STUBLIĆ IMPEX D.O.O.
2. Zajednica ponuditelja: 
    NARODNE NOVINE D.D.
    ZVIBOR D.O.O.
3. MAKROMIKRO D.O.O.</v>
      </c>
      <c r="E309" s="16">
        <v>42130</v>
      </c>
      <c r="F309" s="22">
        <v>42191</v>
      </c>
      <c r="G309" s="13">
        <v>10390.200000000001</v>
      </c>
      <c r="H309" s="22">
        <v>42191</v>
      </c>
      <c r="I309" s="13">
        <v>10390</v>
      </c>
      <c r="J309" s="13">
        <f t="shared" si="21"/>
        <v>12987.5</v>
      </c>
      <c r="K309" s="6"/>
    </row>
    <row r="310" spans="1:11" ht="120" x14ac:dyDescent="0.25">
      <c r="A310" s="3">
        <v>9</v>
      </c>
      <c r="B310" s="14" t="s">
        <v>30</v>
      </c>
      <c r="C310" s="15" t="str">
        <f>"510/7.A-A-0023/15-90"</f>
        <v>510/7.A-A-0023/15-90</v>
      </c>
      <c r="D310" s="15" t="str">
        <f t="shared" si="22"/>
        <v>1. Zajednica ponuditelja: 
    BIRODOM D.O.O.
    STUBLIĆ IMPEX D.O.O.
2. Zajednica ponuditelja: 
    NARODNE NOVINE D.D.
    ZVIBOR D.O.O.
3. MAKROMIKRO D.O.O.</v>
      </c>
      <c r="E310" s="16">
        <v>42110</v>
      </c>
      <c r="F310" s="22">
        <v>42476</v>
      </c>
      <c r="G310" s="13">
        <v>1860</v>
      </c>
      <c r="H310" s="22">
        <v>42476</v>
      </c>
      <c r="I310" s="40">
        <v>0</v>
      </c>
      <c r="J310" s="40">
        <f t="shared" si="21"/>
        <v>0</v>
      </c>
      <c r="K310" s="6"/>
    </row>
    <row r="311" spans="1:11" ht="120" x14ac:dyDescent="0.25">
      <c r="A311" s="3">
        <v>10</v>
      </c>
      <c r="B311" s="14" t="s">
        <v>42</v>
      </c>
      <c r="C311" s="15" t="str">
        <f>"SNUG-202-15-0012-2"</f>
        <v>SNUG-202-15-0012-2</v>
      </c>
      <c r="D311" s="15" t="str">
        <f t="shared" si="22"/>
        <v>1. Zajednica ponuditelja: 
    BIRODOM D.O.O.
    STUBLIĆ IMPEX D.O.O.
2. Zajednica ponuditelja: 
    NARODNE NOVINE D.D.
    ZVIBOR D.O.O.
3. MAKROMIKRO D.O.O.</v>
      </c>
      <c r="E311" s="16">
        <v>42074</v>
      </c>
      <c r="F311" s="22">
        <v>42135</v>
      </c>
      <c r="G311" s="13">
        <v>8964</v>
      </c>
      <c r="H311" s="22">
        <v>42135</v>
      </c>
      <c r="I311" s="13">
        <v>8964</v>
      </c>
      <c r="J311" s="13">
        <f t="shared" si="21"/>
        <v>11205</v>
      </c>
      <c r="K311" s="6"/>
    </row>
    <row r="312" spans="1:11" ht="120" x14ac:dyDescent="0.25">
      <c r="A312" s="3">
        <v>11</v>
      </c>
      <c r="B312" s="14" t="s">
        <v>62</v>
      </c>
      <c r="C312" s="15" t="str">
        <f>"5/2012-F-ZAMJENSKI-254"</f>
        <v>5/2012-F-ZAMJENSKI-254</v>
      </c>
      <c r="D312" s="15" t="str">
        <f t="shared" si="22"/>
        <v>1. Zajednica ponuditelja: 
    BIRODOM D.O.O.
    STUBLIĆ IMPEX D.O.O.
2. Zajednica ponuditelja: 
    NARODNE NOVINE D.D.
    ZVIBOR D.O.O.
3. MAKROMIKRO D.O.O.</v>
      </c>
      <c r="E312" s="16">
        <v>42069</v>
      </c>
      <c r="F312" s="22">
        <v>42369</v>
      </c>
      <c r="G312" s="13">
        <v>930</v>
      </c>
      <c r="H312" s="22">
        <v>42369</v>
      </c>
      <c r="I312" s="13">
        <v>0</v>
      </c>
      <c r="J312" s="13">
        <f t="shared" si="21"/>
        <v>0</v>
      </c>
      <c r="K312" s="6"/>
    </row>
    <row r="313" spans="1:11" ht="120" x14ac:dyDescent="0.25">
      <c r="A313" s="3">
        <v>12</v>
      </c>
      <c r="B313" s="14" t="s">
        <v>91</v>
      </c>
      <c r="C313" s="15" t="str">
        <f>"U18/14"</f>
        <v>U18/14</v>
      </c>
      <c r="D313" s="15" t="str">
        <f t="shared" si="22"/>
        <v>1. Zajednica ponuditelja: 
    BIRODOM D.O.O.
    STUBLIĆ IMPEX D.O.O.
2. Zajednica ponuditelja: 
    NARODNE NOVINE D.D.
    ZVIBOR D.O.O.
3. MAKROMIKRO D.O.O.</v>
      </c>
      <c r="E313" s="16">
        <v>41829</v>
      </c>
      <c r="F313" s="22">
        <v>42397</v>
      </c>
      <c r="G313" s="13">
        <v>2790</v>
      </c>
      <c r="H313" s="22">
        <v>42397</v>
      </c>
      <c r="I313" s="13">
        <v>186</v>
      </c>
      <c r="J313" s="13">
        <f t="shared" si="21"/>
        <v>232.5</v>
      </c>
      <c r="K313" s="6"/>
    </row>
    <row r="314" spans="1:11" ht="120" x14ac:dyDescent="0.25">
      <c r="A314" s="3">
        <v>13</v>
      </c>
      <c r="B314" s="14" t="s">
        <v>35</v>
      </c>
      <c r="C314" s="15" t="str">
        <f>"142/2014"</f>
        <v>142/2014</v>
      </c>
      <c r="D314" s="15" t="str">
        <f t="shared" si="22"/>
        <v>1. Zajednica ponuditelja: 
    BIRODOM D.O.O.
    STUBLIĆ IMPEX D.O.O.
2. Zajednica ponuditelja: 
    NARODNE NOVINE D.D.
    ZVIBOR D.O.O.
3. MAKROMIKRO D.O.O.</v>
      </c>
      <c r="E314" s="16">
        <v>41766</v>
      </c>
      <c r="F314" s="22">
        <v>42124</v>
      </c>
      <c r="G314" s="13">
        <v>10044</v>
      </c>
      <c r="H314" s="22">
        <v>42124</v>
      </c>
      <c r="I314" s="13">
        <v>2150</v>
      </c>
      <c r="J314" s="13">
        <f t="shared" si="21"/>
        <v>2687.5</v>
      </c>
      <c r="K314" s="6"/>
    </row>
    <row r="315" spans="1:11" ht="120" x14ac:dyDescent="0.25">
      <c r="A315" s="3">
        <v>14</v>
      </c>
      <c r="B315" s="14" t="s">
        <v>31</v>
      </c>
      <c r="C315" s="15" t="str">
        <f>"U032/14"</f>
        <v>U032/14</v>
      </c>
      <c r="D315" s="15" t="str">
        <f t="shared" si="22"/>
        <v>1. Zajednica ponuditelja: 
    BIRODOM D.O.O.
    STUBLIĆ IMPEX D.O.O.
2. Zajednica ponuditelja: 
    NARODNE NOVINE D.D.
    ZVIBOR D.O.O.
3. MAKROMIKRO D.O.O.</v>
      </c>
      <c r="E315" s="16">
        <v>41724</v>
      </c>
      <c r="F315" s="22">
        <v>42089</v>
      </c>
      <c r="G315" s="13">
        <v>5016</v>
      </c>
      <c r="H315" s="22">
        <v>42089</v>
      </c>
      <c r="I315" s="40">
        <v>0</v>
      </c>
      <c r="J315" s="40">
        <f t="shared" si="21"/>
        <v>0</v>
      </c>
      <c r="K315" s="6"/>
    </row>
    <row r="316" spans="1:11" ht="120" x14ac:dyDescent="0.25">
      <c r="A316" s="3">
        <v>15</v>
      </c>
      <c r="B316" s="14" t="s">
        <v>29</v>
      </c>
      <c r="C316" s="15" t="str">
        <f>"5/2012-F-ZAMJENSKI-27"</f>
        <v>5/2012-F-ZAMJENSKI-27</v>
      </c>
      <c r="D316" s="15" t="str">
        <f t="shared" si="22"/>
        <v>1. Zajednica ponuditelja: 
    BIRODOM D.O.O.
    STUBLIĆ IMPEX D.O.O.
2. Zajednica ponuditelja: 
    NARODNE NOVINE D.D.
    ZVIBOR D.O.O.
3. MAKROMIKRO D.O.O.</v>
      </c>
      <c r="E316" s="16">
        <v>41452</v>
      </c>
      <c r="F316" s="22">
        <v>42508</v>
      </c>
      <c r="G316" s="13">
        <v>0</v>
      </c>
      <c r="H316" s="22">
        <v>42508</v>
      </c>
      <c r="I316" s="13">
        <v>1860</v>
      </c>
      <c r="J316" s="13">
        <f t="shared" si="21"/>
        <v>2325</v>
      </c>
      <c r="K316" s="6"/>
    </row>
    <row r="317" spans="1:11" ht="120" x14ac:dyDescent="0.25">
      <c r="A317" s="3">
        <v>16</v>
      </c>
      <c r="B317" s="14" t="s">
        <v>55</v>
      </c>
      <c r="C317" s="15" t="str">
        <f>"32-112-13(5/2012-F)-3"</f>
        <v>32-112-13(5/2012-F)-3</v>
      </c>
      <c r="D317" s="15" t="str">
        <f t="shared" si="22"/>
        <v>1. Zajednica ponuditelja: 
    BIRODOM D.O.O.
    STUBLIĆ IMPEX D.O.O.
2. Zajednica ponuditelja: 
    NARODNE NOVINE D.D.
    ZVIBOR D.O.O.
3. MAKROMIKRO D.O.O.</v>
      </c>
      <c r="E317" s="16">
        <v>41401</v>
      </c>
      <c r="F317" s="22">
        <v>42397</v>
      </c>
      <c r="G317" s="13">
        <v>7254</v>
      </c>
      <c r="H317" s="22">
        <v>42397</v>
      </c>
      <c r="I317" s="13">
        <v>0</v>
      </c>
      <c r="J317" s="13">
        <f t="shared" si="21"/>
        <v>0</v>
      </c>
      <c r="K317" s="6"/>
    </row>
    <row r="318" spans="1:11" ht="120" x14ac:dyDescent="0.25">
      <c r="A318" s="3">
        <v>17</v>
      </c>
      <c r="B318" s="14" t="s">
        <v>31</v>
      </c>
      <c r="C318" s="15" t="str">
        <f>"U028/13"</f>
        <v>U028/13</v>
      </c>
      <c r="D318" s="15" t="str">
        <f t="shared" si="22"/>
        <v>1. Zajednica ponuditelja: 
    BIRODOM D.O.O.
    STUBLIĆ IMPEX D.O.O.
2. Zajednica ponuditelja: 
    NARODNE NOVINE D.D.
    ZVIBOR D.O.O.
3. MAKROMIKRO D.O.O.</v>
      </c>
      <c r="E318" s="16">
        <v>41610</v>
      </c>
      <c r="F318" s="22">
        <v>42508</v>
      </c>
      <c r="G318" s="13">
        <v>4951</v>
      </c>
      <c r="H318" s="22">
        <v>42508</v>
      </c>
      <c r="I318" s="40">
        <v>0</v>
      </c>
      <c r="J318" s="40">
        <f t="shared" si="21"/>
        <v>0</v>
      </c>
      <c r="K318" s="6"/>
    </row>
    <row r="319" spans="1:11" ht="120" x14ac:dyDescent="0.25">
      <c r="A319" s="3">
        <v>18</v>
      </c>
      <c r="B319" s="14" t="s">
        <v>91</v>
      </c>
      <c r="C319" s="15" t="str">
        <f>"5/2012-F-ZAMJENSKI-3"</f>
        <v>5/2012-F-ZAMJENSKI-3</v>
      </c>
      <c r="D319" s="15" t="str">
        <f t="shared" si="22"/>
        <v>1. Zajednica ponuditelja: 
    BIRODOM D.O.O.
    STUBLIĆ IMPEX D.O.O.
2. Zajednica ponuditelja: 
    NARODNE NOVINE D.D.
    ZVIBOR D.O.O.
3. MAKROMIKRO D.O.O.</v>
      </c>
      <c r="E319" s="16">
        <v>41610</v>
      </c>
      <c r="F319" s="22">
        <v>42006</v>
      </c>
      <c r="G319" s="13">
        <v>2200</v>
      </c>
      <c r="H319" s="22">
        <v>42006</v>
      </c>
      <c r="I319" s="13">
        <v>2200</v>
      </c>
      <c r="J319" s="13">
        <f t="shared" si="21"/>
        <v>2750</v>
      </c>
      <c r="K319" s="6"/>
    </row>
    <row r="321" spans="2:11" ht="15" customHeight="1" x14ac:dyDescent="0.25">
      <c r="B321" s="41" t="s">
        <v>707</v>
      </c>
      <c r="C321" s="41"/>
      <c r="D321" s="41"/>
      <c r="E321" s="41"/>
      <c r="F321" s="41"/>
      <c r="G321" s="41"/>
      <c r="H321" s="41"/>
      <c r="I321" s="41"/>
      <c r="J321" s="41"/>
      <c r="K321" s="41"/>
    </row>
  </sheetData>
  <sheetProtection algorithmName="SHA-512" hashValue="97eNOND9y7rsElpF+9tV4FaWXJ2uuLhJvnLf02ItQ5Sa96B5GKBeNupjvYZYaUHHvLdgf9pfSituZMK+OOWeSg==" saltValue="ktktwKBiDC0QErtmjmdhhw==" spinCount="100000" sheet="1" objects="1" scenarios="1"/>
  <mergeCells count="16">
    <mergeCell ref="B321:K321"/>
    <mergeCell ref="A126:H126"/>
    <mergeCell ref="A1:I1"/>
    <mergeCell ref="A4:H4"/>
    <mergeCell ref="A6:K6"/>
    <mergeCell ref="A73:H73"/>
    <mergeCell ref="A75:K75"/>
    <mergeCell ref="A259:K259"/>
    <mergeCell ref="A298:H298"/>
    <mergeCell ref="A300:K300"/>
    <mergeCell ref="A128:K128"/>
    <mergeCell ref="A173:H173"/>
    <mergeCell ref="A175:K175"/>
    <mergeCell ref="A221:H221"/>
    <mergeCell ref="A223:K223"/>
    <mergeCell ref="A257:H257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D303 D11 D264 D265 D268:D269 D287 D226 D232 D180 D204 D131 D139:D140 D144 D154 D40 D22 D108 D245 D229" formula="1"/>
    <ignoredError sqref="C168" twoDigitTextYear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686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389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679</v>
      </c>
      <c r="C3" s="20" t="s">
        <v>643</v>
      </c>
      <c r="D3" s="3" t="s">
        <v>693</v>
      </c>
      <c r="E3" s="3" t="s">
        <v>24</v>
      </c>
      <c r="F3" s="21">
        <v>41617</v>
      </c>
      <c r="G3" s="3" t="s">
        <v>659</v>
      </c>
      <c r="H3" s="13">
        <v>23000000</v>
      </c>
      <c r="I3" s="13">
        <v>18436800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9964168.5600000005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647</v>
      </c>
      <c r="K7" s="5" t="s">
        <v>17</v>
      </c>
    </row>
    <row r="8" spans="1:11" ht="24" x14ac:dyDescent="0.25">
      <c r="A8" s="3">
        <v>1</v>
      </c>
      <c r="B8" s="14" t="s">
        <v>29</v>
      </c>
      <c r="C8" s="15" t="str">
        <f>"POLICA 8/2013 -2015.G."</f>
        <v>POLICA 8/2013 -2015.G.</v>
      </c>
      <c r="D8" s="15" t="str">
        <f>CONCATENATE("CROATIA OSIGURANJE D.D.")</f>
        <v>CROATIA OSIGURANJE D.D.</v>
      </c>
      <c r="E8" s="16">
        <v>41617</v>
      </c>
      <c r="F8" s="17"/>
      <c r="G8" s="13">
        <v>9964168.5600000005</v>
      </c>
      <c r="H8" s="16"/>
      <c r="I8" s="13">
        <v>9964168.5600000005</v>
      </c>
      <c r="J8" s="13">
        <v>9964168.5600000005</v>
      </c>
      <c r="K8" s="6"/>
    </row>
    <row r="9" spans="1:11" ht="7.5" customHeight="1" x14ac:dyDescent="0.25"/>
    <row r="10" spans="1:11" ht="42" customHeight="1" x14ac:dyDescent="0.25">
      <c r="A10" s="1" t="s">
        <v>0</v>
      </c>
      <c r="B10" s="2" t="s">
        <v>1</v>
      </c>
      <c r="C10" s="2" t="s">
        <v>6</v>
      </c>
      <c r="D10" s="2" t="s">
        <v>2</v>
      </c>
      <c r="E10" s="2" t="s">
        <v>3</v>
      </c>
      <c r="F10" s="2" t="s">
        <v>7</v>
      </c>
      <c r="G10" s="2" t="s">
        <v>8</v>
      </c>
      <c r="H10" s="2" t="s">
        <v>4</v>
      </c>
      <c r="I10" s="2" t="s">
        <v>5</v>
      </c>
    </row>
    <row r="11" spans="1:11" ht="36" x14ac:dyDescent="0.25">
      <c r="A11" s="3">
        <v>1</v>
      </c>
      <c r="B11" s="19" t="s">
        <v>680</v>
      </c>
      <c r="C11" s="20" t="s">
        <v>645</v>
      </c>
      <c r="D11" s="3" t="s">
        <v>690</v>
      </c>
      <c r="E11" s="3" t="s">
        <v>24</v>
      </c>
      <c r="F11" s="21">
        <v>41528</v>
      </c>
      <c r="G11" s="3" t="s">
        <v>659</v>
      </c>
      <c r="H11" s="13">
        <v>28000000</v>
      </c>
      <c r="I11" s="13">
        <v>26283891.309999999</v>
      </c>
    </row>
    <row r="12" spans="1:11" x14ac:dyDescent="0.25">
      <c r="A12" s="42" t="s">
        <v>706</v>
      </c>
      <c r="B12" s="43"/>
      <c r="C12" s="43"/>
      <c r="D12" s="43"/>
      <c r="E12" s="43"/>
      <c r="F12" s="43"/>
      <c r="G12" s="43"/>
      <c r="H12" s="44"/>
      <c r="I12" s="13">
        <v>8739892.1799999997</v>
      </c>
    </row>
    <row r="13" spans="1:11" ht="7.5" customHeight="1" x14ac:dyDescent="0.25"/>
    <row r="14" spans="1:11" x14ac:dyDescent="0.25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63.75" customHeight="1" x14ac:dyDescent="0.25">
      <c r="A15" s="4" t="s">
        <v>0</v>
      </c>
      <c r="B15" s="5" t="s">
        <v>10</v>
      </c>
      <c r="C15" s="5" t="s">
        <v>9</v>
      </c>
      <c r="D15" s="5" t="s">
        <v>13</v>
      </c>
      <c r="E15" s="5" t="s">
        <v>12</v>
      </c>
      <c r="F15" s="5" t="s">
        <v>11</v>
      </c>
      <c r="G15" s="5" t="s">
        <v>18</v>
      </c>
      <c r="H15" s="5" t="s">
        <v>14</v>
      </c>
      <c r="I15" s="5" t="s">
        <v>15</v>
      </c>
      <c r="J15" s="5" t="s">
        <v>647</v>
      </c>
      <c r="K15" s="5" t="s">
        <v>17</v>
      </c>
    </row>
    <row r="16" spans="1:11" ht="24" x14ac:dyDescent="0.25">
      <c r="A16" s="3">
        <v>1</v>
      </c>
      <c r="B16" s="14" t="s">
        <v>25</v>
      </c>
      <c r="C16" s="15" t="str">
        <f>"8101805171"</f>
        <v>8101805171</v>
      </c>
      <c r="D16" s="15" t="str">
        <f t="shared" ref="D16:D79" si="0">CONCATENATE("EUROHERC OSIGURANJE D.D.")</f>
        <v>EUROHERC OSIGURANJE D.D.</v>
      </c>
      <c r="E16" s="16">
        <v>42124</v>
      </c>
      <c r="F16" s="16"/>
      <c r="G16" s="13">
        <v>3181.05</v>
      </c>
      <c r="H16" s="16"/>
      <c r="I16" s="13">
        <v>3181.05</v>
      </c>
      <c r="J16" s="13">
        <f>I16</f>
        <v>3181.05</v>
      </c>
      <c r="K16" s="6"/>
    </row>
    <row r="17" spans="1:11" ht="24" x14ac:dyDescent="0.25">
      <c r="A17" s="3">
        <v>2</v>
      </c>
      <c r="B17" s="14" t="s">
        <v>25</v>
      </c>
      <c r="C17" s="15" t="str">
        <f>"8101805172"</f>
        <v>8101805172</v>
      </c>
      <c r="D17" s="15" t="str">
        <f t="shared" si="0"/>
        <v>EUROHERC OSIGURANJE D.D.</v>
      </c>
      <c r="E17" s="16">
        <v>42124</v>
      </c>
      <c r="F17" s="16"/>
      <c r="G17" s="13">
        <v>3181.05</v>
      </c>
      <c r="H17" s="16"/>
      <c r="I17" s="13">
        <v>3181.05</v>
      </c>
      <c r="J17" s="13">
        <f t="shared" ref="J17:J80" si="1">I17</f>
        <v>3181.05</v>
      </c>
      <c r="K17" s="6"/>
    </row>
    <row r="18" spans="1:11" ht="24" x14ac:dyDescent="0.25">
      <c r="A18" s="3">
        <v>3</v>
      </c>
      <c r="B18" s="14" t="s">
        <v>25</v>
      </c>
      <c r="C18" s="15" t="str">
        <f>"831176087-KASKO"</f>
        <v>831176087-KASKO</v>
      </c>
      <c r="D18" s="15" t="str">
        <f t="shared" si="0"/>
        <v>EUROHERC OSIGURANJE D.D.</v>
      </c>
      <c r="E18" s="16" t="s">
        <v>646</v>
      </c>
      <c r="F18" s="16"/>
      <c r="G18" s="13">
        <v>10.85</v>
      </c>
      <c r="H18" s="16"/>
      <c r="I18" s="13">
        <v>10.85</v>
      </c>
      <c r="J18" s="13">
        <f t="shared" si="1"/>
        <v>10.85</v>
      </c>
      <c r="K18" s="6"/>
    </row>
    <row r="19" spans="1:11" ht="24" x14ac:dyDescent="0.25">
      <c r="A19" s="3">
        <v>4</v>
      </c>
      <c r="B19" s="14" t="s">
        <v>25</v>
      </c>
      <c r="C19" s="15" t="str">
        <f>"831176088-KASKO"</f>
        <v>831176088-KASKO</v>
      </c>
      <c r="D19" s="15" t="str">
        <f t="shared" si="0"/>
        <v>EUROHERC OSIGURANJE D.D.</v>
      </c>
      <c r="E19" s="16">
        <v>42130</v>
      </c>
      <c r="F19" s="16"/>
      <c r="G19" s="13">
        <v>10.85</v>
      </c>
      <c r="H19" s="16"/>
      <c r="I19" s="13">
        <v>10.85</v>
      </c>
      <c r="J19" s="13">
        <f t="shared" si="1"/>
        <v>10.85</v>
      </c>
      <c r="K19" s="6"/>
    </row>
    <row r="20" spans="1:11" ht="24" x14ac:dyDescent="0.25">
      <c r="A20" s="3">
        <v>5</v>
      </c>
      <c r="B20" s="14" t="s">
        <v>25</v>
      </c>
      <c r="C20" s="15" t="str">
        <f>"8101842616"</f>
        <v>8101842616</v>
      </c>
      <c r="D20" s="15" t="str">
        <f t="shared" si="0"/>
        <v>EUROHERC OSIGURANJE D.D.</v>
      </c>
      <c r="E20" s="16">
        <v>42147</v>
      </c>
      <c r="F20" s="16"/>
      <c r="G20" s="13">
        <v>1514.04</v>
      </c>
      <c r="H20" s="16"/>
      <c r="I20" s="13">
        <v>1154.04</v>
      </c>
      <c r="J20" s="13">
        <f t="shared" si="1"/>
        <v>1154.04</v>
      </c>
      <c r="K20" s="6"/>
    </row>
    <row r="21" spans="1:11" ht="24" x14ac:dyDescent="0.25">
      <c r="A21" s="3">
        <v>6</v>
      </c>
      <c r="B21" s="14" t="s">
        <v>25</v>
      </c>
      <c r="C21" s="15" t="str">
        <f>"8101842619"</f>
        <v>8101842619</v>
      </c>
      <c r="D21" s="15" t="str">
        <f t="shared" si="0"/>
        <v>EUROHERC OSIGURANJE D.D.</v>
      </c>
      <c r="E21" s="16">
        <v>42148</v>
      </c>
      <c r="F21" s="16"/>
      <c r="G21" s="13">
        <v>1701.69</v>
      </c>
      <c r="H21" s="16"/>
      <c r="I21" s="13">
        <v>1701.69</v>
      </c>
      <c r="J21" s="13">
        <f t="shared" si="1"/>
        <v>1701.69</v>
      </c>
      <c r="K21" s="6"/>
    </row>
    <row r="22" spans="1:11" ht="24" x14ac:dyDescent="0.25">
      <c r="A22" s="3">
        <v>7</v>
      </c>
      <c r="B22" s="14" t="s">
        <v>25</v>
      </c>
      <c r="C22" s="15" t="str">
        <f>"8101842620"</f>
        <v>8101842620</v>
      </c>
      <c r="D22" s="15" t="str">
        <f t="shared" si="0"/>
        <v>EUROHERC OSIGURANJE D.D.</v>
      </c>
      <c r="E22" s="16">
        <v>42149</v>
      </c>
      <c r="F22" s="16"/>
      <c r="G22" s="13">
        <v>1701.69</v>
      </c>
      <c r="H22" s="16"/>
      <c r="I22" s="13">
        <v>1701.69</v>
      </c>
      <c r="J22" s="13">
        <f t="shared" si="1"/>
        <v>1701.69</v>
      </c>
      <c r="K22" s="6"/>
    </row>
    <row r="23" spans="1:11" ht="24" x14ac:dyDescent="0.25">
      <c r="A23" s="3">
        <v>8</v>
      </c>
      <c r="B23" s="14" t="s">
        <v>25</v>
      </c>
      <c r="C23" s="15" t="str">
        <f>"8101842617"</f>
        <v>8101842617</v>
      </c>
      <c r="D23" s="15" t="str">
        <f t="shared" si="0"/>
        <v>EUROHERC OSIGURANJE D.D.</v>
      </c>
      <c r="E23" s="16">
        <v>42149</v>
      </c>
      <c r="F23" s="16"/>
      <c r="G23" s="13">
        <v>1060.58</v>
      </c>
      <c r="H23" s="16"/>
      <c r="I23" s="13">
        <v>1060.58</v>
      </c>
      <c r="J23" s="13">
        <f t="shared" si="1"/>
        <v>1060.58</v>
      </c>
      <c r="K23" s="6"/>
    </row>
    <row r="24" spans="1:11" ht="24" x14ac:dyDescent="0.25">
      <c r="A24" s="3">
        <v>9</v>
      </c>
      <c r="B24" s="14" t="s">
        <v>25</v>
      </c>
      <c r="C24" s="15" t="str">
        <f>"8101920639"</f>
        <v>8101920639</v>
      </c>
      <c r="D24" s="15" t="str">
        <f t="shared" si="0"/>
        <v>EUROHERC OSIGURANJE D.D.</v>
      </c>
      <c r="E24" s="16">
        <v>42150</v>
      </c>
      <c r="F24" s="16"/>
      <c r="G24" s="13">
        <v>931.7</v>
      </c>
      <c r="H24" s="16"/>
      <c r="I24" s="13">
        <v>931.7</v>
      </c>
      <c r="J24" s="13">
        <f t="shared" si="1"/>
        <v>931.7</v>
      </c>
      <c r="K24" s="6"/>
    </row>
    <row r="25" spans="1:11" ht="24" x14ac:dyDescent="0.25">
      <c r="A25" s="3">
        <v>10</v>
      </c>
      <c r="B25" s="14" t="s">
        <v>25</v>
      </c>
      <c r="C25" s="15" t="str">
        <f>"8101842618"</f>
        <v>8101842618</v>
      </c>
      <c r="D25" s="15" t="str">
        <f t="shared" si="0"/>
        <v>EUROHERC OSIGURANJE D.D.</v>
      </c>
      <c r="E25" s="16">
        <v>42150</v>
      </c>
      <c r="F25" s="16"/>
      <c r="G25" s="13">
        <v>1361.35</v>
      </c>
      <c r="H25" s="16"/>
      <c r="I25" s="13">
        <v>1701.69</v>
      </c>
      <c r="J25" s="13">
        <f t="shared" si="1"/>
        <v>1701.69</v>
      </c>
      <c r="K25" s="6"/>
    </row>
    <row r="26" spans="1:11" ht="24" x14ac:dyDescent="0.25">
      <c r="A26" s="3">
        <v>11</v>
      </c>
      <c r="B26" s="14" t="s">
        <v>25</v>
      </c>
      <c r="C26" s="15" t="str">
        <f>"8101920640"</f>
        <v>8101920640</v>
      </c>
      <c r="D26" s="15" t="str">
        <f t="shared" si="0"/>
        <v>EUROHERC OSIGURANJE D.D.</v>
      </c>
      <c r="E26" s="16">
        <v>42156</v>
      </c>
      <c r="F26" s="16"/>
      <c r="G26" s="13">
        <v>1023.25</v>
      </c>
      <c r="H26" s="16"/>
      <c r="I26" s="13">
        <v>818.6</v>
      </c>
      <c r="J26" s="13">
        <f t="shared" si="1"/>
        <v>818.6</v>
      </c>
      <c r="K26" s="6"/>
    </row>
    <row r="27" spans="1:11" ht="24" x14ac:dyDescent="0.25">
      <c r="A27" s="3">
        <v>12</v>
      </c>
      <c r="B27" s="14" t="s">
        <v>25</v>
      </c>
      <c r="C27" s="15" t="str">
        <f>"8101920641"</f>
        <v>8101920641</v>
      </c>
      <c r="D27" s="15" t="str">
        <f t="shared" si="0"/>
        <v>EUROHERC OSIGURANJE D.D.</v>
      </c>
      <c r="E27" s="16">
        <v>42168</v>
      </c>
      <c r="F27" s="16"/>
      <c r="G27" s="13">
        <v>2219.59</v>
      </c>
      <c r="H27" s="16"/>
      <c r="I27" s="13">
        <v>2219.56</v>
      </c>
      <c r="J27" s="13">
        <f t="shared" si="1"/>
        <v>2219.56</v>
      </c>
      <c r="K27" s="6"/>
    </row>
    <row r="28" spans="1:11" ht="24" x14ac:dyDescent="0.25">
      <c r="A28" s="3">
        <v>13</v>
      </c>
      <c r="B28" s="14" t="s">
        <v>25</v>
      </c>
      <c r="C28" s="15" t="str">
        <f>"8101961856"</f>
        <v>8101961856</v>
      </c>
      <c r="D28" s="15" t="str">
        <f t="shared" si="0"/>
        <v>EUROHERC OSIGURANJE D.D.</v>
      </c>
      <c r="E28" s="16">
        <v>42173</v>
      </c>
      <c r="F28" s="16"/>
      <c r="G28" s="13">
        <v>1836.18</v>
      </c>
      <c r="H28" s="16"/>
      <c r="I28" s="13">
        <v>1836.18</v>
      </c>
      <c r="J28" s="13">
        <f t="shared" si="1"/>
        <v>1836.18</v>
      </c>
      <c r="K28" s="6"/>
    </row>
    <row r="29" spans="1:11" ht="24" x14ac:dyDescent="0.25">
      <c r="A29" s="3">
        <v>14</v>
      </c>
      <c r="B29" s="14" t="s">
        <v>25</v>
      </c>
      <c r="C29" s="15" t="str">
        <f>"8101966296"</f>
        <v>8101966296</v>
      </c>
      <c r="D29" s="15" t="str">
        <f t="shared" si="0"/>
        <v>EUROHERC OSIGURANJE D.D.</v>
      </c>
      <c r="E29" s="16">
        <v>42194</v>
      </c>
      <c r="F29" s="16"/>
      <c r="G29" s="13">
        <v>1278.83</v>
      </c>
      <c r="H29" s="16"/>
      <c r="I29" s="13">
        <v>1278.83</v>
      </c>
      <c r="J29" s="13">
        <f t="shared" si="1"/>
        <v>1278.83</v>
      </c>
      <c r="K29" s="6"/>
    </row>
    <row r="30" spans="1:11" ht="24" x14ac:dyDescent="0.25">
      <c r="A30" s="3">
        <v>15</v>
      </c>
      <c r="B30" s="14" t="s">
        <v>25</v>
      </c>
      <c r="C30" s="15" t="str">
        <f>"8101966295"</f>
        <v>8101966295</v>
      </c>
      <c r="D30" s="15" t="str">
        <f t="shared" si="0"/>
        <v>EUROHERC OSIGURANJE D.D.</v>
      </c>
      <c r="E30" s="16">
        <v>42197</v>
      </c>
      <c r="F30" s="16"/>
      <c r="G30" s="13">
        <v>2722.71</v>
      </c>
      <c r="H30" s="16"/>
      <c r="I30" s="13">
        <v>2722.71</v>
      </c>
      <c r="J30" s="13">
        <f t="shared" si="1"/>
        <v>2722.71</v>
      </c>
      <c r="K30" s="6"/>
    </row>
    <row r="31" spans="1:11" ht="24" x14ac:dyDescent="0.25">
      <c r="A31" s="3">
        <v>16</v>
      </c>
      <c r="B31" s="14" t="s">
        <v>25</v>
      </c>
      <c r="C31" s="15" t="str">
        <f>"8101966293"</f>
        <v>8101966293</v>
      </c>
      <c r="D31" s="15" t="str">
        <f t="shared" si="0"/>
        <v>EUROHERC OSIGURANJE D.D.</v>
      </c>
      <c r="E31" s="16">
        <v>42198</v>
      </c>
      <c r="F31" s="16"/>
      <c r="G31" s="13">
        <v>1125.55</v>
      </c>
      <c r="H31" s="16"/>
      <c r="I31" s="13">
        <v>1125.55</v>
      </c>
      <c r="J31" s="13">
        <f t="shared" si="1"/>
        <v>1125.55</v>
      </c>
      <c r="K31" s="6"/>
    </row>
    <row r="32" spans="1:11" ht="24" x14ac:dyDescent="0.25">
      <c r="A32" s="3">
        <v>17</v>
      </c>
      <c r="B32" s="14" t="s">
        <v>25</v>
      </c>
      <c r="C32" s="15" t="str">
        <f>"8191996291"</f>
        <v>8191996291</v>
      </c>
      <c r="D32" s="15" t="str">
        <f t="shared" si="0"/>
        <v>EUROHERC OSIGURANJE D.D.</v>
      </c>
      <c r="E32" s="16">
        <v>42199</v>
      </c>
      <c r="F32" s="16"/>
      <c r="G32" s="13">
        <v>2042.03</v>
      </c>
      <c r="H32" s="16"/>
      <c r="I32" s="13">
        <v>2042.03</v>
      </c>
      <c r="J32" s="13">
        <f t="shared" si="1"/>
        <v>2042.03</v>
      </c>
      <c r="K32" s="6"/>
    </row>
    <row r="33" spans="1:11" ht="24" x14ac:dyDescent="0.25">
      <c r="A33" s="3">
        <v>18</v>
      </c>
      <c r="B33" s="14" t="s">
        <v>25</v>
      </c>
      <c r="C33" s="15" t="str">
        <f>"8101966219"</f>
        <v>8101966219</v>
      </c>
      <c r="D33" s="15" t="str">
        <f t="shared" si="0"/>
        <v>EUROHERC OSIGURANJE D.D.</v>
      </c>
      <c r="E33" s="16">
        <v>42202</v>
      </c>
      <c r="F33" s="16"/>
      <c r="G33" s="13">
        <v>1534.85</v>
      </c>
      <c r="H33" s="16"/>
      <c r="I33" s="13">
        <v>1534.85</v>
      </c>
      <c r="J33" s="13">
        <f t="shared" si="1"/>
        <v>1534.85</v>
      </c>
      <c r="K33" s="6"/>
    </row>
    <row r="34" spans="1:11" ht="24" x14ac:dyDescent="0.25">
      <c r="A34" s="3">
        <v>19</v>
      </c>
      <c r="B34" s="14" t="s">
        <v>25</v>
      </c>
      <c r="C34" s="15" t="str">
        <f>"8101966294"</f>
        <v>8101966294</v>
      </c>
      <c r="D34" s="15" t="str">
        <f t="shared" si="0"/>
        <v>EUROHERC OSIGURANJE D.D.</v>
      </c>
      <c r="E34" s="16">
        <v>42202</v>
      </c>
      <c r="F34" s="16"/>
      <c r="G34" s="13">
        <v>933.31</v>
      </c>
      <c r="H34" s="16"/>
      <c r="I34" s="13">
        <v>933.31</v>
      </c>
      <c r="J34" s="13">
        <f t="shared" si="1"/>
        <v>933.31</v>
      </c>
      <c r="K34" s="6"/>
    </row>
    <row r="35" spans="1:11" ht="24" x14ac:dyDescent="0.25">
      <c r="A35" s="3">
        <v>20</v>
      </c>
      <c r="B35" s="14" t="s">
        <v>25</v>
      </c>
      <c r="C35" s="15" t="str">
        <f>"8101966288"</f>
        <v>8101966288</v>
      </c>
      <c r="D35" s="15" t="str">
        <f t="shared" si="0"/>
        <v>EUROHERC OSIGURANJE D.D.</v>
      </c>
      <c r="E35" s="16">
        <v>42203</v>
      </c>
      <c r="F35" s="16"/>
      <c r="G35" s="13">
        <v>1024.8900000000001</v>
      </c>
      <c r="H35" s="16"/>
      <c r="I35" s="13">
        <v>1024.8900000000001</v>
      </c>
      <c r="J35" s="13">
        <f t="shared" si="1"/>
        <v>1024.8900000000001</v>
      </c>
      <c r="K35" s="6"/>
    </row>
    <row r="36" spans="1:11" ht="24" x14ac:dyDescent="0.25">
      <c r="A36" s="3">
        <v>21</v>
      </c>
      <c r="B36" s="14" t="s">
        <v>25</v>
      </c>
      <c r="C36" s="15" t="str">
        <f>"8101966289"</f>
        <v>8101966289</v>
      </c>
      <c r="D36" s="15" t="str">
        <f t="shared" si="0"/>
        <v>EUROHERC OSIGURANJE D.D.</v>
      </c>
      <c r="E36" s="16">
        <v>42203</v>
      </c>
      <c r="F36" s="16"/>
      <c r="G36" s="13">
        <v>1125.55</v>
      </c>
      <c r="H36" s="16"/>
      <c r="I36" s="13">
        <v>1125.55</v>
      </c>
      <c r="J36" s="13">
        <f t="shared" si="1"/>
        <v>1125.55</v>
      </c>
      <c r="K36" s="6"/>
    </row>
    <row r="37" spans="1:11" ht="24" x14ac:dyDescent="0.25">
      <c r="A37" s="3">
        <v>22</v>
      </c>
      <c r="B37" s="14" t="s">
        <v>25</v>
      </c>
      <c r="C37" s="15" t="str">
        <f>"8101966290"</f>
        <v>8101966290</v>
      </c>
      <c r="D37" s="15" t="str">
        <f t="shared" si="0"/>
        <v>EUROHERC OSIGURANJE D.D.</v>
      </c>
      <c r="E37" s="16">
        <v>42204</v>
      </c>
      <c r="F37" s="16"/>
      <c r="G37" s="13">
        <v>1125.55</v>
      </c>
      <c r="H37" s="16"/>
      <c r="I37" s="13">
        <v>1125.55</v>
      </c>
      <c r="J37" s="13">
        <f t="shared" si="1"/>
        <v>1125.55</v>
      </c>
      <c r="K37" s="6"/>
    </row>
    <row r="38" spans="1:11" ht="24" x14ac:dyDescent="0.25">
      <c r="A38" s="3">
        <v>23</v>
      </c>
      <c r="B38" s="14" t="s">
        <v>25</v>
      </c>
      <c r="C38" s="15" t="str">
        <f>"8101966220"</f>
        <v>8101966220</v>
      </c>
      <c r="D38" s="15" t="str">
        <f t="shared" si="0"/>
        <v>EUROHERC OSIGURANJE D.D.</v>
      </c>
      <c r="E38" s="16">
        <v>42209</v>
      </c>
      <c r="F38" s="16"/>
      <c r="G38" s="13">
        <v>1125.55</v>
      </c>
      <c r="H38" s="16"/>
      <c r="I38" s="13">
        <v>1125.55</v>
      </c>
      <c r="J38" s="13">
        <f t="shared" si="1"/>
        <v>1125.55</v>
      </c>
      <c r="K38" s="6"/>
    </row>
    <row r="39" spans="1:11" ht="24" x14ac:dyDescent="0.25">
      <c r="A39" s="3">
        <v>24</v>
      </c>
      <c r="B39" s="14" t="s">
        <v>25</v>
      </c>
      <c r="C39" s="15" t="str">
        <f>"8101966292"</f>
        <v>8101966292</v>
      </c>
      <c r="D39" s="15" t="str">
        <f t="shared" si="0"/>
        <v>EUROHERC OSIGURANJE D.D.</v>
      </c>
      <c r="E39" s="16">
        <v>42211</v>
      </c>
      <c r="F39" s="16"/>
      <c r="G39" s="13">
        <v>1238.81</v>
      </c>
      <c r="H39" s="16"/>
      <c r="I39" s="13">
        <v>1238.81</v>
      </c>
      <c r="J39" s="13">
        <f t="shared" si="1"/>
        <v>1238.81</v>
      </c>
      <c r="K39" s="6"/>
    </row>
    <row r="40" spans="1:11" ht="24" x14ac:dyDescent="0.25">
      <c r="A40" s="3">
        <v>25</v>
      </c>
      <c r="B40" s="14" t="s">
        <v>25</v>
      </c>
      <c r="C40" s="15" t="str">
        <f>"8101988766"</f>
        <v>8101988766</v>
      </c>
      <c r="D40" s="15" t="str">
        <f t="shared" si="0"/>
        <v>EUROHERC OSIGURANJE D.D.</v>
      </c>
      <c r="E40" s="16">
        <v>42262</v>
      </c>
      <c r="F40" s="16"/>
      <c r="G40" s="13">
        <v>3845.28</v>
      </c>
      <c r="H40" s="16"/>
      <c r="I40" s="13">
        <v>3845.28</v>
      </c>
      <c r="J40" s="13">
        <f t="shared" si="1"/>
        <v>3845.28</v>
      </c>
      <c r="K40" s="6"/>
    </row>
    <row r="41" spans="1:11" ht="24" x14ac:dyDescent="0.25">
      <c r="A41" s="3">
        <v>26</v>
      </c>
      <c r="B41" s="14" t="s">
        <v>25</v>
      </c>
      <c r="C41" s="15" t="str">
        <f>"8101988771"</f>
        <v>8101988771</v>
      </c>
      <c r="D41" s="15" t="str">
        <f t="shared" si="0"/>
        <v>EUROHERC OSIGURANJE D.D.</v>
      </c>
      <c r="E41" s="16">
        <v>42262</v>
      </c>
      <c r="F41" s="16"/>
      <c r="G41" s="13">
        <v>3845.28</v>
      </c>
      <c r="H41" s="16"/>
      <c r="I41" s="13">
        <v>3845.28</v>
      </c>
      <c r="J41" s="13">
        <f t="shared" si="1"/>
        <v>3845.28</v>
      </c>
      <c r="K41" s="6"/>
    </row>
    <row r="42" spans="1:11" ht="24" x14ac:dyDescent="0.25">
      <c r="A42" s="3">
        <v>27</v>
      </c>
      <c r="B42" s="14" t="s">
        <v>25</v>
      </c>
      <c r="C42" s="15" t="str">
        <f>"8101988769"</f>
        <v>8101988769</v>
      </c>
      <c r="D42" s="15" t="str">
        <f t="shared" si="0"/>
        <v>EUROHERC OSIGURANJE D.D.</v>
      </c>
      <c r="E42" s="16">
        <v>42262</v>
      </c>
      <c r="F42" s="16"/>
      <c r="G42" s="13">
        <v>3845.28</v>
      </c>
      <c r="H42" s="16"/>
      <c r="I42" s="13">
        <v>3845.28</v>
      </c>
      <c r="J42" s="13">
        <f t="shared" si="1"/>
        <v>3845.28</v>
      </c>
      <c r="K42" s="6"/>
    </row>
    <row r="43" spans="1:11" ht="24" x14ac:dyDescent="0.25">
      <c r="A43" s="3">
        <v>28</v>
      </c>
      <c r="B43" s="14" t="s">
        <v>25</v>
      </c>
      <c r="C43" s="15" t="str">
        <f>"8101988768"</f>
        <v>8101988768</v>
      </c>
      <c r="D43" s="15" t="str">
        <f t="shared" si="0"/>
        <v>EUROHERC OSIGURANJE D.D.</v>
      </c>
      <c r="E43" s="16">
        <v>42262</v>
      </c>
      <c r="F43" s="16"/>
      <c r="G43" s="13">
        <v>3845.28</v>
      </c>
      <c r="H43" s="16"/>
      <c r="I43" s="13">
        <v>3845.28</v>
      </c>
      <c r="J43" s="13">
        <f t="shared" si="1"/>
        <v>3845.28</v>
      </c>
      <c r="K43" s="6"/>
    </row>
    <row r="44" spans="1:11" ht="24" x14ac:dyDescent="0.25">
      <c r="A44" s="3">
        <v>29</v>
      </c>
      <c r="B44" s="14" t="s">
        <v>25</v>
      </c>
      <c r="C44" s="15" t="str">
        <f>"8101984571"</f>
        <v>8101984571</v>
      </c>
      <c r="D44" s="15" t="str">
        <f t="shared" si="0"/>
        <v>EUROHERC OSIGURANJE D.D.</v>
      </c>
      <c r="E44" s="16">
        <v>42262</v>
      </c>
      <c r="F44" s="16"/>
      <c r="G44" s="13">
        <v>1284.55</v>
      </c>
      <c r="H44" s="16"/>
      <c r="I44" s="13">
        <v>1284.55</v>
      </c>
      <c r="J44" s="13">
        <f t="shared" si="1"/>
        <v>1284.55</v>
      </c>
      <c r="K44" s="6"/>
    </row>
    <row r="45" spans="1:11" ht="24" x14ac:dyDescent="0.25">
      <c r="A45" s="3">
        <v>30</v>
      </c>
      <c r="B45" s="14" t="s">
        <v>25</v>
      </c>
      <c r="C45" s="15" t="str">
        <f>"8101988770"</f>
        <v>8101988770</v>
      </c>
      <c r="D45" s="15" t="str">
        <f t="shared" si="0"/>
        <v>EUROHERC OSIGURANJE D.D.</v>
      </c>
      <c r="E45" s="16">
        <v>42262</v>
      </c>
      <c r="F45" s="16"/>
      <c r="G45" s="13">
        <v>3845.28</v>
      </c>
      <c r="H45" s="16"/>
      <c r="I45" s="13">
        <v>3845.28</v>
      </c>
      <c r="J45" s="13">
        <f t="shared" si="1"/>
        <v>3845.28</v>
      </c>
      <c r="K45" s="6"/>
    </row>
    <row r="46" spans="1:11" ht="24" x14ac:dyDescent="0.25">
      <c r="A46" s="3">
        <v>31</v>
      </c>
      <c r="B46" s="14" t="s">
        <v>25</v>
      </c>
      <c r="C46" s="15" t="str">
        <f>"8101988767"</f>
        <v>8101988767</v>
      </c>
      <c r="D46" s="15" t="str">
        <f t="shared" si="0"/>
        <v>EUROHERC OSIGURANJE D.D.</v>
      </c>
      <c r="E46" s="16">
        <v>42262</v>
      </c>
      <c r="F46" s="16"/>
      <c r="G46" s="13">
        <v>3845.28</v>
      </c>
      <c r="H46" s="16"/>
      <c r="I46" s="13">
        <v>3845.28</v>
      </c>
      <c r="J46" s="13">
        <f t="shared" si="1"/>
        <v>3845.28</v>
      </c>
      <c r="K46" s="6"/>
    </row>
    <row r="47" spans="1:11" ht="24" x14ac:dyDescent="0.25">
      <c r="A47" s="3">
        <v>32</v>
      </c>
      <c r="B47" s="14" t="s">
        <v>25</v>
      </c>
      <c r="C47" s="15" t="str">
        <f>"8101984570"</f>
        <v>8101984570</v>
      </c>
      <c r="D47" s="15" t="str">
        <f t="shared" si="0"/>
        <v>EUROHERC OSIGURANJE D.D.</v>
      </c>
      <c r="E47" s="16">
        <v>42267</v>
      </c>
      <c r="F47" s="16"/>
      <c r="G47" s="13">
        <v>1284.55</v>
      </c>
      <c r="H47" s="16"/>
      <c r="I47" s="13">
        <v>1284.55</v>
      </c>
      <c r="J47" s="13">
        <f t="shared" si="1"/>
        <v>1284.55</v>
      </c>
      <c r="K47" s="6"/>
    </row>
    <row r="48" spans="1:11" ht="24" x14ac:dyDescent="0.25">
      <c r="A48" s="3">
        <v>33</v>
      </c>
      <c r="B48" s="14" t="s">
        <v>25</v>
      </c>
      <c r="C48" s="15" t="str">
        <f>"831188759-KASKO"</f>
        <v>831188759-KASKO</v>
      </c>
      <c r="D48" s="15" t="str">
        <f t="shared" si="0"/>
        <v>EUROHERC OSIGURANJE D.D.</v>
      </c>
      <c r="E48" s="16">
        <v>42270</v>
      </c>
      <c r="F48" s="16"/>
      <c r="G48" s="13">
        <v>10.24</v>
      </c>
      <c r="H48" s="16"/>
      <c r="I48" s="13">
        <v>10.24</v>
      </c>
      <c r="J48" s="13">
        <f t="shared" si="1"/>
        <v>10.24</v>
      </c>
      <c r="K48" s="6"/>
    </row>
    <row r="49" spans="1:11" ht="24" x14ac:dyDescent="0.25">
      <c r="A49" s="3">
        <v>34</v>
      </c>
      <c r="B49" s="14" t="s">
        <v>25</v>
      </c>
      <c r="C49" s="15" t="str">
        <f>"831188762-KASKO"</f>
        <v>831188762-KASKO</v>
      </c>
      <c r="D49" s="15" t="str">
        <f t="shared" si="0"/>
        <v>EUROHERC OSIGURANJE D.D.</v>
      </c>
      <c r="E49" s="16">
        <v>42270</v>
      </c>
      <c r="F49" s="16"/>
      <c r="G49" s="13">
        <v>10.24</v>
      </c>
      <c r="H49" s="16"/>
      <c r="I49" s="13">
        <v>10.24</v>
      </c>
      <c r="J49" s="13">
        <f t="shared" si="1"/>
        <v>10.24</v>
      </c>
      <c r="K49" s="6"/>
    </row>
    <row r="50" spans="1:11" ht="24" x14ac:dyDescent="0.25">
      <c r="A50" s="3">
        <v>35</v>
      </c>
      <c r="B50" s="14" t="s">
        <v>25</v>
      </c>
      <c r="C50" s="15" t="str">
        <f>"831188760-KASKO"</f>
        <v>831188760-KASKO</v>
      </c>
      <c r="D50" s="15" t="str">
        <f t="shared" si="0"/>
        <v>EUROHERC OSIGURANJE D.D.</v>
      </c>
      <c r="E50" s="16">
        <v>42270</v>
      </c>
      <c r="F50" s="16"/>
      <c r="G50" s="13">
        <v>10.24</v>
      </c>
      <c r="H50" s="16"/>
      <c r="I50" s="13">
        <v>10.24</v>
      </c>
      <c r="J50" s="13">
        <f t="shared" si="1"/>
        <v>10.24</v>
      </c>
      <c r="K50" s="6"/>
    </row>
    <row r="51" spans="1:11" ht="24" x14ac:dyDescent="0.25">
      <c r="A51" s="3">
        <v>36</v>
      </c>
      <c r="B51" s="14" t="s">
        <v>25</v>
      </c>
      <c r="C51" s="15" t="str">
        <f>"831188757-KASKO"</f>
        <v>831188757-KASKO</v>
      </c>
      <c r="D51" s="15" t="str">
        <f t="shared" si="0"/>
        <v>EUROHERC OSIGURANJE D.D.</v>
      </c>
      <c r="E51" s="16">
        <v>42270</v>
      </c>
      <c r="F51" s="16"/>
      <c r="G51" s="13">
        <v>10.24</v>
      </c>
      <c r="H51" s="16"/>
      <c r="I51" s="13">
        <v>10.24</v>
      </c>
      <c r="J51" s="13">
        <f t="shared" si="1"/>
        <v>10.24</v>
      </c>
      <c r="K51" s="6"/>
    </row>
    <row r="52" spans="1:11" ht="24" x14ac:dyDescent="0.25">
      <c r="A52" s="3">
        <v>37</v>
      </c>
      <c r="B52" s="14" t="s">
        <v>25</v>
      </c>
      <c r="C52" s="15" t="str">
        <f>"831188761-KASKO"</f>
        <v>831188761-KASKO</v>
      </c>
      <c r="D52" s="15" t="str">
        <f t="shared" si="0"/>
        <v>EUROHERC OSIGURANJE D.D.</v>
      </c>
      <c r="E52" s="16">
        <v>42270</v>
      </c>
      <c r="F52" s="16"/>
      <c r="G52" s="13">
        <v>10.24</v>
      </c>
      <c r="H52" s="16"/>
      <c r="I52" s="13">
        <v>10.24</v>
      </c>
      <c r="J52" s="13">
        <f t="shared" si="1"/>
        <v>10.24</v>
      </c>
      <c r="K52" s="6"/>
    </row>
    <row r="53" spans="1:11" ht="24" x14ac:dyDescent="0.25">
      <c r="A53" s="3">
        <v>38</v>
      </c>
      <c r="B53" s="14" t="s">
        <v>25</v>
      </c>
      <c r="C53" s="15" t="str">
        <f>"831188758"</f>
        <v>831188758</v>
      </c>
      <c r="D53" s="15" t="str">
        <f t="shared" si="0"/>
        <v>EUROHERC OSIGURANJE D.D.</v>
      </c>
      <c r="E53" s="16">
        <v>42270</v>
      </c>
      <c r="F53" s="16"/>
      <c r="G53" s="13">
        <v>10.24</v>
      </c>
      <c r="H53" s="16"/>
      <c r="I53" s="13">
        <v>10.24</v>
      </c>
      <c r="J53" s="13">
        <f t="shared" si="1"/>
        <v>10.24</v>
      </c>
      <c r="K53" s="6"/>
    </row>
    <row r="54" spans="1:11" ht="24" x14ac:dyDescent="0.25">
      <c r="A54" s="3">
        <v>39</v>
      </c>
      <c r="B54" s="14" t="s">
        <v>44</v>
      </c>
      <c r="C54" s="15" t="str">
        <f>"5/2013-MFINPU-14"</f>
        <v>5/2013-MFINPU-14</v>
      </c>
      <c r="D54" s="15" t="str">
        <f t="shared" si="0"/>
        <v>EUROHERC OSIGURANJE D.D.</v>
      </c>
      <c r="E54" s="16">
        <v>42039</v>
      </c>
      <c r="F54" s="16"/>
      <c r="G54" s="13">
        <v>3026.12</v>
      </c>
      <c r="H54" s="16"/>
      <c r="I54" s="13">
        <v>3026.12</v>
      </c>
      <c r="J54" s="13">
        <f t="shared" si="1"/>
        <v>3026.12</v>
      </c>
      <c r="K54" s="6"/>
    </row>
    <row r="55" spans="1:11" ht="24" x14ac:dyDescent="0.25">
      <c r="A55" s="3">
        <v>40</v>
      </c>
      <c r="B55" s="14" t="s">
        <v>44</v>
      </c>
      <c r="C55" s="15" t="str">
        <f>"5/2013-MFINPU-15"</f>
        <v>5/2013-MFINPU-15</v>
      </c>
      <c r="D55" s="15" t="str">
        <f t="shared" si="0"/>
        <v>EUROHERC OSIGURANJE D.D.</v>
      </c>
      <c r="E55" s="16">
        <v>42104</v>
      </c>
      <c r="F55" s="16"/>
      <c r="G55" s="13">
        <v>1210.44</v>
      </c>
      <c r="H55" s="16"/>
      <c r="I55" s="13">
        <v>1210.44</v>
      </c>
      <c r="J55" s="13">
        <f t="shared" si="1"/>
        <v>1210.44</v>
      </c>
      <c r="K55" s="6"/>
    </row>
    <row r="56" spans="1:11" ht="24" x14ac:dyDescent="0.25">
      <c r="A56" s="3">
        <v>41</v>
      </c>
      <c r="B56" s="14" t="s">
        <v>44</v>
      </c>
      <c r="C56" s="15" t="str">
        <f>"5/2013-MFINPU-16"</f>
        <v>5/2013-MFINPU-16</v>
      </c>
      <c r="D56" s="15" t="str">
        <f t="shared" si="0"/>
        <v>EUROHERC OSIGURANJE D.D.</v>
      </c>
      <c r="E56" s="16">
        <v>42200</v>
      </c>
      <c r="F56" s="16"/>
      <c r="G56" s="13">
        <v>801.14</v>
      </c>
      <c r="H56" s="16"/>
      <c r="I56" s="13">
        <v>801.14</v>
      </c>
      <c r="J56" s="13">
        <f t="shared" si="1"/>
        <v>801.14</v>
      </c>
      <c r="K56" s="6"/>
    </row>
    <row r="57" spans="1:11" ht="24" x14ac:dyDescent="0.25">
      <c r="A57" s="3">
        <v>42</v>
      </c>
      <c r="B57" s="14" t="s">
        <v>44</v>
      </c>
      <c r="C57" s="15" t="str">
        <f>"5/2013-MFINPU-17"</f>
        <v>5/2013-MFINPU-17</v>
      </c>
      <c r="D57" s="15" t="str">
        <f t="shared" si="0"/>
        <v>EUROHERC OSIGURANJE D.D.</v>
      </c>
      <c r="E57" s="16">
        <v>42205</v>
      </c>
      <c r="F57" s="16"/>
      <c r="G57" s="13">
        <v>879.82</v>
      </c>
      <c r="H57" s="16"/>
      <c r="I57" s="13">
        <v>879.82</v>
      </c>
      <c r="J57" s="13">
        <f t="shared" si="1"/>
        <v>879.82</v>
      </c>
      <c r="K57" s="6"/>
    </row>
    <row r="58" spans="1:11" ht="24" x14ac:dyDescent="0.25">
      <c r="A58" s="3">
        <v>43</v>
      </c>
      <c r="B58" s="14" t="s">
        <v>44</v>
      </c>
      <c r="C58" s="15" t="str">
        <f>"5/2013-MFINPU-18"</f>
        <v>5/2013-MFINPU-18</v>
      </c>
      <c r="D58" s="15" t="str">
        <f t="shared" si="0"/>
        <v>EUROHERC OSIGURANJE D.D.</v>
      </c>
      <c r="E58" s="16">
        <v>42217</v>
      </c>
      <c r="F58" s="16"/>
      <c r="G58" s="13">
        <v>729.54</v>
      </c>
      <c r="H58" s="16"/>
      <c r="I58" s="13">
        <v>729.54</v>
      </c>
      <c r="J58" s="13">
        <f t="shared" si="1"/>
        <v>729.54</v>
      </c>
      <c r="K58" s="6"/>
    </row>
    <row r="59" spans="1:11" ht="24" x14ac:dyDescent="0.25">
      <c r="A59" s="3">
        <v>44</v>
      </c>
      <c r="B59" s="14" t="s">
        <v>44</v>
      </c>
      <c r="C59" s="15" t="str">
        <f>"5/2013-MFINPU-19"</f>
        <v>5/2013-MFINPU-19</v>
      </c>
      <c r="D59" s="15" t="str">
        <f t="shared" si="0"/>
        <v>EUROHERC OSIGURANJE D.D.</v>
      </c>
      <c r="E59" s="16">
        <v>42251</v>
      </c>
      <c r="F59" s="16"/>
      <c r="G59" s="13">
        <v>729.54</v>
      </c>
      <c r="H59" s="16"/>
      <c r="I59" s="13">
        <v>729.54</v>
      </c>
      <c r="J59" s="13">
        <f t="shared" si="1"/>
        <v>729.54</v>
      </c>
      <c r="K59" s="6"/>
    </row>
    <row r="60" spans="1:11" ht="24" x14ac:dyDescent="0.25">
      <c r="A60" s="3">
        <v>45</v>
      </c>
      <c r="B60" s="14" t="s">
        <v>41</v>
      </c>
      <c r="C60" s="15" t="str">
        <f>"2013"</f>
        <v>2013</v>
      </c>
      <c r="D60" s="15" t="str">
        <f t="shared" si="0"/>
        <v>EUROHERC OSIGURANJE D.D.</v>
      </c>
      <c r="E60" s="16">
        <v>41275</v>
      </c>
      <c r="F60" s="16"/>
      <c r="G60" s="13">
        <v>40474.53</v>
      </c>
      <c r="H60" s="16"/>
      <c r="I60" s="13">
        <v>40474.53</v>
      </c>
      <c r="J60" s="13">
        <f t="shared" si="1"/>
        <v>40474.53</v>
      </c>
      <c r="K60" s="6"/>
    </row>
    <row r="61" spans="1:11" ht="24" x14ac:dyDescent="0.25">
      <c r="A61" s="3">
        <v>46</v>
      </c>
      <c r="B61" s="14" t="s">
        <v>41</v>
      </c>
      <c r="C61" s="15" t="str">
        <f>"2014"</f>
        <v>2014</v>
      </c>
      <c r="D61" s="15" t="str">
        <f t="shared" si="0"/>
        <v>EUROHERC OSIGURANJE D.D.</v>
      </c>
      <c r="E61" s="16">
        <v>41640</v>
      </c>
      <c r="F61" s="16"/>
      <c r="G61" s="13">
        <v>104895.78</v>
      </c>
      <c r="H61" s="16"/>
      <c r="I61" s="13">
        <v>104895.78</v>
      </c>
      <c r="J61" s="13">
        <f t="shared" si="1"/>
        <v>104895.78</v>
      </c>
      <c r="K61" s="6"/>
    </row>
    <row r="62" spans="1:11" ht="24" x14ac:dyDescent="0.25">
      <c r="A62" s="3">
        <v>47</v>
      </c>
      <c r="B62" s="14" t="s">
        <v>41</v>
      </c>
      <c r="C62" s="15" t="str">
        <f>"2015"</f>
        <v>2015</v>
      </c>
      <c r="D62" s="15" t="str">
        <f t="shared" si="0"/>
        <v>EUROHERC OSIGURANJE D.D.</v>
      </c>
      <c r="E62" s="16">
        <v>42005</v>
      </c>
      <c r="F62" s="16"/>
      <c r="G62" s="13">
        <v>41058.74</v>
      </c>
      <c r="H62" s="16"/>
      <c r="I62" s="13">
        <v>41058.74</v>
      </c>
      <c r="J62" s="13">
        <f t="shared" si="1"/>
        <v>41058.74</v>
      </c>
      <c r="K62" s="6"/>
    </row>
    <row r="63" spans="1:11" ht="24" x14ac:dyDescent="0.25">
      <c r="A63" s="3">
        <v>48</v>
      </c>
      <c r="B63" s="14" t="s">
        <v>41</v>
      </c>
      <c r="C63" s="15" t="str">
        <f>"2014 KASKO"</f>
        <v>2014 KASKO</v>
      </c>
      <c r="D63" s="15" t="str">
        <f t="shared" si="0"/>
        <v>EUROHERC OSIGURANJE D.D.</v>
      </c>
      <c r="E63" s="16">
        <v>41944</v>
      </c>
      <c r="F63" s="16"/>
      <c r="G63" s="13">
        <v>4967.67</v>
      </c>
      <c r="H63" s="16"/>
      <c r="I63" s="13">
        <v>4967.67</v>
      </c>
      <c r="J63" s="13">
        <f t="shared" si="1"/>
        <v>4967.67</v>
      </c>
      <c r="K63" s="6"/>
    </row>
    <row r="64" spans="1:11" ht="24" x14ac:dyDescent="0.25">
      <c r="A64" s="3">
        <v>49</v>
      </c>
      <c r="B64" s="14" t="s">
        <v>91</v>
      </c>
      <c r="C64" s="15" t="str">
        <f>"NARUDŽBENICA ZA 5/2013"</f>
        <v>NARUDŽBENICA ZA 5/2013</v>
      </c>
      <c r="D64" s="15" t="str">
        <f t="shared" si="0"/>
        <v>EUROHERC OSIGURANJE D.D.</v>
      </c>
      <c r="E64" s="16">
        <v>41598</v>
      </c>
      <c r="F64" s="16"/>
      <c r="G64" s="13">
        <v>88116.3</v>
      </c>
      <c r="H64" s="16"/>
      <c r="I64" s="13">
        <v>88116.3</v>
      </c>
      <c r="J64" s="13">
        <f t="shared" si="1"/>
        <v>88116.3</v>
      </c>
      <c r="K64" s="6"/>
    </row>
    <row r="65" spans="1:11" ht="36" x14ac:dyDescent="0.25">
      <c r="A65" s="3">
        <v>50</v>
      </c>
      <c r="B65" s="14" t="s">
        <v>59</v>
      </c>
      <c r="C65" s="15" t="str">
        <f>"000081/2015"</f>
        <v>000081/2015</v>
      </c>
      <c r="D65" s="15" t="str">
        <f t="shared" si="0"/>
        <v>EUROHERC OSIGURANJE D.D.</v>
      </c>
      <c r="E65" s="16">
        <v>42061</v>
      </c>
      <c r="F65" s="16"/>
      <c r="G65" s="13">
        <v>4019.07</v>
      </c>
      <c r="H65" s="16"/>
      <c r="I65" s="13">
        <v>4019.07</v>
      </c>
      <c r="J65" s="13">
        <f t="shared" si="1"/>
        <v>4019.07</v>
      </c>
      <c r="K65" s="6"/>
    </row>
    <row r="66" spans="1:11" ht="36" x14ac:dyDescent="0.25">
      <c r="A66" s="3">
        <v>51</v>
      </c>
      <c r="B66" s="14" t="s">
        <v>59</v>
      </c>
      <c r="C66" s="15" t="str">
        <f>"000171/2015"</f>
        <v>000171/2015</v>
      </c>
      <c r="D66" s="15" t="str">
        <f t="shared" si="0"/>
        <v>EUROHERC OSIGURANJE D.D.</v>
      </c>
      <c r="E66" s="16">
        <v>42104</v>
      </c>
      <c r="F66" s="16"/>
      <c r="G66" s="13">
        <v>59810.92</v>
      </c>
      <c r="H66" s="16"/>
      <c r="I66" s="13">
        <v>59810.92</v>
      </c>
      <c r="J66" s="13">
        <f t="shared" si="1"/>
        <v>59810.92</v>
      </c>
      <c r="K66" s="6"/>
    </row>
    <row r="67" spans="1:11" ht="36" x14ac:dyDescent="0.25">
      <c r="A67" s="3">
        <v>52</v>
      </c>
      <c r="B67" s="14" t="s">
        <v>59</v>
      </c>
      <c r="C67" s="15" t="str">
        <f>"000172/2015"</f>
        <v>000172/2015</v>
      </c>
      <c r="D67" s="15" t="str">
        <f t="shared" si="0"/>
        <v>EUROHERC OSIGURANJE D.D.</v>
      </c>
      <c r="E67" s="16">
        <v>42104</v>
      </c>
      <c r="F67" s="16"/>
      <c r="G67" s="13">
        <v>184.8</v>
      </c>
      <c r="H67" s="16"/>
      <c r="I67" s="13">
        <v>184.8</v>
      </c>
      <c r="J67" s="13">
        <f t="shared" si="1"/>
        <v>184.8</v>
      </c>
      <c r="K67" s="6"/>
    </row>
    <row r="68" spans="1:11" ht="24" x14ac:dyDescent="0.25">
      <c r="A68" s="3">
        <v>53</v>
      </c>
      <c r="B68" s="14" t="s">
        <v>48</v>
      </c>
      <c r="C68" s="15" t="str">
        <f>"0515011243"</f>
        <v>0515011243</v>
      </c>
      <c r="D68" s="15" t="str">
        <f t="shared" si="0"/>
        <v>EUROHERC OSIGURANJE D.D.</v>
      </c>
      <c r="E68" s="16">
        <v>42051</v>
      </c>
      <c r="F68" s="16"/>
      <c r="G68" s="13">
        <v>4018.7</v>
      </c>
      <c r="H68" s="16"/>
      <c r="I68" s="13">
        <v>4018.7</v>
      </c>
      <c r="J68" s="13">
        <f t="shared" si="1"/>
        <v>4018.7</v>
      </c>
      <c r="K68" s="6"/>
    </row>
    <row r="69" spans="1:11" ht="24" x14ac:dyDescent="0.25">
      <c r="A69" s="3">
        <v>54</v>
      </c>
      <c r="B69" s="14" t="s">
        <v>45</v>
      </c>
      <c r="C69" s="15" t="str">
        <f>"OS03/2013-U2"</f>
        <v>OS03/2013-U2</v>
      </c>
      <c r="D69" s="15" t="str">
        <f t="shared" si="0"/>
        <v>EUROHERC OSIGURANJE D.D.</v>
      </c>
      <c r="E69" s="16">
        <v>41903</v>
      </c>
      <c r="F69" s="16"/>
      <c r="G69" s="13">
        <v>155169.12</v>
      </c>
      <c r="H69" s="16"/>
      <c r="I69" s="13">
        <v>101814.55</v>
      </c>
      <c r="J69" s="13">
        <f t="shared" si="1"/>
        <v>101814.55</v>
      </c>
      <c r="K69" s="6"/>
    </row>
    <row r="70" spans="1:11" ht="24" x14ac:dyDescent="0.25">
      <c r="A70" s="3">
        <v>55</v>
      </c>
      <c r="B70" s="14" t="s">
        <v>49</v>
      </c>
      <c r="C70" s="15" t="str">
        <f>"128/2015"</f>
        <v>128/2015</v>
      </c>
      <c r="D70" s="15" t="str">
        <f t="shared" si="0"/>
        <v>EUROHERC OSIGURANJE D.D.</v>
      </c>
      <c r="E70" s="16">
        <v>42048</v>
      </c>
      <c r="F70" s="16"/>
      <c r="G70" s="13">
        <v>1707.38</v>
      </c>
      <c r="H70" s="16"/>
      <c r="I70" s="13">
        <v>1707.3</v>
      </c>
      <c r="J70" s="13">
        <f t="shared" si="1"/>
        <v>1707.3</v>
      </c>
      <c r="K70" s="6"/>
    </row>
    <row r="71" spans="1:11" ht="24" x14ac:dyDescent="0.25">
      <c r="A71" s="3">
        <v>56</v>
      </c>
      <c r="B71" s="14" t="s">
        <v>49</v>
      </c>
      <c r="C71" s="15" t="str">
        <f>"282/2015"</f>
        <v>282/2015</v>
      </c>
      <c r="D71" s="15" t="str">
        <f t="shared" si="0"/>
        <v>EUROHERC OSIGURANJE D.D.</v>
      </c>
      <c r="E71" s="16">
        <v>42082</v>
      </c>
      <c r="F71" s="16"/>
      <c r="G71" s="13">
        <v>3680.93</v>
      </c>
      <c r="H71" s="16"/>
      <c r="I71" s="13">
        <v>3680.93</v>
      </c>
      <c r="J71" s="13">
        <f t="shared" si="1"/>
        <v>3680.93</v>
      </c>
      <c r="K71" s="6"/>
    </row>
    <row r="72" spans="1:11" ht="24" x14ac:dyDescent="0.25">
      <c r="A72" s="3">
        <v>57</v>
      </c>
      <c r="B72" s="14" t="s">
        <v>49</v>
      </c>
      <c r="C72" s="15" t="str">
        <f>"284/2015"</f>
        <v>284/2015</v>
      </c>
      <c r="D72" s="15" t="str">
        <f t="shared" si="0"/>
        <v>EUROHERC OSIGURANJE D.D.</v>
      </c>
      <c r="E72" s="16">
        <v>42082</v>
      </c>
      <c r="F72" s="16"/>
      <c r="G72" s="13">
        <v>4422.6000000000004</v>
      </c>
      <c r="H72" s="16"/>
      <c r="I72" s="13">
        <v>4422.6000000000004</v>
      </c>
      <c r="J72" s="13">
        <f t="shared" si="1"/>
        <v>4422.6000000000004</v>
      </c>
      <c r="K72" s="6"/>
    </row>
    <row r="73" spans="1:11" ht="24" x14ac:dyDescent="0.25">
      <c r="A73" s="3">
        <v>58</v>
      </c>
      <c r="B73" s="14" t="s">
        <v>49</v>
      </c>
      <c r="C73" s="15" t="str">
        <f>"286/2015"</f>
        <v>286/2015</v>
      </c>
      <c r="D73" s="15" t="str">
        <f t="shared" si="0"/>
        <v>EUROHERC OSIGURANJE D.D.</v>
      </c>
      <c r="E73" s="16">
        <v>42082</v>
      </c>
      <c r="F73" s="16"/>
      <c r="G73" s="13">
        <v>3680.93</v>
      </c>
      <c r="H73" s="16"/>
      <c r="I73" s="13">
        <v>3680.93</v>
      </c>
      <c r="J73" s="13">
        <f t="shared" si="1"/>
        <v>3680.93</v>
      </c>
      <c r="K73" s="6"/>
    </row>
    <row r="74" spans="1:11" ht="24" x14ac:dyDescent="0.25">
      <c r="A74" s="3">
        <v>59</v>
      </c>
      <c r="B74" s="14" t="s">
        <v>49</v>
      </c>
      <c r="C74" s="15" t="str">
        <f>"333/2015"</f>
        <v>333/2015</v>
      </c>
      <c r="D74" s="15" t="str">
        <f t="shared" si="0"/>
        <v>EUROHERC OSIGURANJE D.D.</v>
      </c>
      <c r="E74" s="16">
        <v>42095</v>
      </c>
      <c r="F74" s="16"/>
      <c r="G74" s="13">
        <v>1361.35</v>
      </c>
      <c r="H74" s="16"/>
      <c r="I74" s="13">
        <v>1361.35</v>
      </c>
      <c r="J74" s="13">
        <f t="shared" si="1"/>
        <v>1361.35</v>
      </c>
      <c r="K74" s="6"/>
    </row>
    <row r="75" spans="1:11" ht="24" x14ac:dyDescent="0.25">
      <c r="A75" s="3">
        <v>60</v>
      </c>
      <c r="B75" s="14" t="s">
        <v>49</v>
      </c>
      <c r="C75" s="15" t="str">
        <f>"638/2015"</f>
        <v>638/2015</v>
      </c>
      <c r="D75" s="15" t="str">
        <f t="shared" si="0"/>
        <v>EUROHERC OSIGURANJE D.D.</v>
      </c>
      <c r="E75" s="16">
        <v>42172</v>
      </c>
      <c r="F75" s="16"/>
      <c r="G75" s="13">
        <v>1635.96</v>
      </c>
      <c r="H75" s="16"/>
      <c r="I75" s="13">
        <v>1635.96</v>
      </c>
      <c r="J75" s="13">
        <f t="shared" si="1"/>
        <v>1635.96</v>
      </c>
      <c r="K75" s="6"/>
    </row>
    <row r="76" spans="1:11" ht="24" x14ac:dyDescent="0.25">
      <c r="A76" s="3">
        <v>61</v>
      </c>
      <c r="B76" s="14" t="s">
        <v>49</v>
      </c>
      <c r="C76" s="15" t="str">
        <f>"733/2015"</f>
        <v>733/2015</v>
      </c>
      <c r="D76" s="15" t="str">
        <f t="shared" si="0"/>
        <v>EUROHERC OSIGURANJE D.D.</v>
      </c>
      <c r="E76" s="16">
        <v>42208</v>
      </c>
      <c r="F76" s="16"/>
      <c r="G76" s="13">
        <v>1089.08</v>
      </c>
      <c r="H76" s="16"/>
      <c r="I76" s="13">
        <v>1089.08</v>
      </c>
      <c r="J76" s="13">
        <f t="shared" si="1"/>
        <v>1089.08</v>
      </c>
      <c r="K76" s="6"/>
    </row>
    <row r="77" spans="1:11" ht="24" x14ac:dyDescent="0.25">
      <c r="A77" s="3">
        <v>62</v>
      </c>
      <c r="B77" s="14" t="s">
        <v>49</v>
      </c>
      <c r="C77" s="15" t="str">
        <f>"734/2015"</f>
        <v>734/2015</v>
      </c>
      <c r="D77" s="15" t="str">
        <f t="shared" si="0"/>
        <v>EUROHERC OSIGURANJE D.D.</v>
      </c>
      <c r="E77" s="16">
        <v>42208</v>
      </c>
      <c r="F77" s="16"/>
      <c r="G77" s="13">
        <v>1089.08</v>
      </c>
      <c r="H77" s="16"/>
      <c r="I77" s="13">
        <v>1089.08</v>
      </c>
      <c r="J77" s="13">
        <f t="shared" si="1"/>
        <v>1089.08</v>
      </c>
      <c r="K77" s="6"/>
    </row>
    <row r="78" spans="1:11" ht="24" x14ac:dyDescent="0.25">
      <c r="A78" s="3">
        <v>63</v>
      </c>
      <c r="B78" s="14" t="s">
        <v>49</v>
      </c>
      <c r="C78" s="15" t="str">
        <f>"735/2015"</f>
        <v>735/2015</v>
      </c>
      <c r="D78" s="15" t="str">
        <f t="shared" si="0"/>
        <v>EUROHERC OSIGURANJE D.D.</v>
      </c>
      <c r="E78" s="16">
        <v>42208</v>
      </c>
      <c r="F78" s="16"/>
      <c r="G78" s="13">
        <v>1089.08</v>
      </c>
      <c r="H78" s="16"/>
      <c r="I78" s="13">
        <v>1089.08</v>
      </c>
      <c r="J78" s="13">
        <f t="shared" si="1"/>
        <v>1089.08</v>
      </c>
      <c r="K78" s="6"/>
    </row>
    <row r="79" spans="1:11" ht="24" x14ac:dyDescent="0.25">
      <c r="A79" s="3">
        <v>64</v>
      </c>
      <c r="B79" s="14" t="s">
        <v>49</v>
      </c>
      <c r="C79" s="15" t="str">
        <f>"283/2015"</f>
        <v>283/2015</v>
      </c>
      <c r="D79" s="15" t="str">
        <f t="shared" si="0"/>
        <v>EUROHERC OSIGURANJE D.D.</v>
      </c>
      <c r="E79" s="16">
        <v>42082</v>
      </c>
      <c r="F79" s="16"/>
      <c r="G79" s="13">
        <v>15.7</v>
      </c>
      <c r="H79" s="16"/>
      <c r="I79" s="13">
        <v>15.7</v>
      </c>
      <c r="J79" s="13">
        <f t="shared" si="1"/>
        <v>15.7</v>
      </c>
      <c r="K79" s="6"/>
    </row>
    <row r="80" spans="1:11" ht="24" x14ac:dyDescent="0.25">
      <c r="A80" s="3">
        <v>65</v>
      </c>
      <c r="B80" s="14" t="s">
        <v>49</v>
      </c>
      <c r="C80" s="15" t="str">
        <f>"285/2015"</f>
        <v>285/2015</v>
      </c>
      <c r="D80" s="15" t="str">
        <f t="shared" ref="D80:D143" si="2">CONCATENATE("EUROHERC OSIGURANJE D.D.")</f>
        <v>EUROHERC OSIGURANJE D.D.</v>
      </c>
      <c r="E80" s="16">
        <v>42082</v>
      </c>
      <c r="F80" s="16"/>
      <c r="G80" s="13">
        <v>19.2</v>
      </c>
      <c r="H80" s="16"/>
      <c r="I80" s="13">
        <v>19.2</v>
      </c>
      <c r="J80" s="13">
        <f t="shared" si="1"/>
        <v>19.2</v>
      </c>
      <c r="K80" s="6"/>
    </row>
    <row r="81" spans="1:11" ht="24" x14ac:dyDescent="0.25">
      <c r="A81" s="3">
        <v>66</v>
      </c>
      <c r="B81" s="14" t="s">
        <v>49</v>
      </c>
      <c r="C81" s="15" t="str">
        <f>"287/2015"</f>
        <v>287/2015</v>
      </c>
      <c r="D81" s="15" t="str">
        <f t="shared" si="2"/>
        <v>EUROHERC OSIGURANJE D.D.</v>
      </c>
      <c r="E81" s="16">
        <v>42082</v>
      </c>
      <c r="F81" s="16"/>
      <c r="G81" s="13">
        <v>15.7</v>
      </c>
      <c r="H81" s="16"/>
      <c r="I81" s="13">
        <v>15.7</v>
      </c>
      <c r="J81" s="13">
        <f t="shared" ref="J81:J144" si="3">I81</f>
        <v>15.7</v>
      </c>
      <c r="K81" s="6"/>
    </row>
    <row r="82" spans="1:11" ht="24" x14ac:dyDescent="0.25">
      <c r="A82" s="3">
        <v>67</v>
      </c>
      <c r="B82" s="14" t="s">
        <v>49</v>
      </c>
      <c r="C82" s="15" t="str">
        <f>"547/2015"</f>
        <v>547/2015</v>
      </c>
      <c r="D82" s="15" t="str">
        <f t="shared" si="2"/>
        <v>EUROHERC OSIGURANJE D.D.</v>
      </c>
      <c r="E82" s="16">
        <v>42139</v>
      </c>
      <c r="F82" s="16"/>
      <c r="G82" s="13">
        <v>16.149999999999999</v>
      </c>
      <c r="H82" s="16"/>
      <c r="I82" s="13">
        <v>16.149999999999999</v>
      </c>
      <c r="J82" s="13">
        <f t="shared" si="3"/>
        <v>16.149999999999999</v>
      </c>
      <c r="K82" s="6"/>
    </row>
    <row r="83" spans="1:11" ht="24" x14ac:dyDescent="0.25">
      <c r="A83" s="3">
        <v>68</v>
      </c>
      <c r="B83" s="14" t="s">
        <v>32</v>
      </c>
      <c r="C83" s="15" t="str">
        <f>"DHMZ-5/2013"</f>
        <v>DHMZ-5/2013</v>
      </c>
      <c r="D83" s="15" t="str">
        <f t="shared" si="2"/>
        <v>EUROHERC OSIGURANJE D.D.</v>
      </c>
      <c r="E83" s="16">
        <v>41582</v>
      </c>
      <c r="F83" s="16"/>
      <c r="G83" s="13">
        <v>210000</v>
      </c>
      <c r="H83" s="16"/>
      <c r="I83" s="13">
        <v>101058.78</v>
      </c>
      <c r="J83" s="13">
        <f t="shared" si="3"/>
        <v>101058.78</v>
      </c>
      <c r="K83" s="6"/>
    </row>
    <row r="84" spans="1:11" ht="24" x14ac:dyDescent="0.25">
      <c r="A84" s="3">
        <v>69</v>
      </c>
      <c r="B84" s="14" t="s">
        <v>26</v>
      </c>
      <c r="C84" s="15" t="str">
        <f>"0068-2164-15"</f>
        <v>0068-2164-15</v>
      </c>
      <c r="D84" s="15" t="str">
        <f t="shared" si="2"/>
        <v>EUROHERC OSIGURANJE D.D.</v>
      </c>
      <c r="E84" s="16">
        <v>42087</v>
      </c>
      <c r="F84" s="16"/>
      <c r="G84" s="13">
        <v>2249.46</v>
      </c>
      <c r="H84" s="16"/>
      <c r="I84" s="13">
        <v>2249.46</v>
      </c>
      <c r="J84" s="13">
        <f t="shared" si="3"/>
        <v>2249.46</v>
      </c>
      <c r="K84" s="6"/>
    </row>
    <row r="85" spans="1:11" ht="24" x14ac:dyDescent="0.25">
      <c r="A85" s="3">
        <v>70</v>
      </c>
      <c r="B85" s="14" t="s">
        <v>26</v>
      </c>
      <c r="C85" s="15" t="str">
        <f>"0067-2164-15"</f>
        <v>0067-2164-15</v>
      </c>
      <c r="D85" s="15" t="str">
        <f t="shared" si="2"/>
        <v>EUROHERC OSIGURANJE D.D.</v>
      </c>
      <c r="E85" s="16">
        <v>42087</v>
      </c>
      <c r="F85" s="16"/>
      <c r="G85" s="13">
        <v>1879.92</v>
      </c>
      <c r="H85" s="16"/>
      <c r="I85" s="13">
        <v>1879.92</v>
      </c>
      <c r="J85" s="13">
        <f t="shared" si="3"/>
        <v>1879.92</v>
      </c>
      <c r="K85" s="6"/>
    </row>
    <row r="86" spans="1:11" ht="24" x14ac:dyDescent="0.25">
      <c r="A86" s="3">
        <v>71</v>
      </c>
      <c r="B86" s="14" t="s">
        <v>26</v>
      </c>
      <c r="C86" s="15" t="str">
        <f>"2164-0253-15"</f>
        <v>2164-0253-15</v>
      </c>
      <c r="D86" s="15" t="str">
        <f t="shared" si="2"/>
        <v>EUROHERC OSIGURANJE D.D.</v>
      </c>
      <c r="E86" s="16">
        <v>42251</v>
      </c>
      <c r="F86" s="16"/>
      <c r="G86" s="13">
        <v>1963.16</v>
      </c>
      <c r="H86" s="16"/>
      <c r="I86" s="13">
        <v>1963.16</v>
      </c>
      <c r="J86" s="13">
        <f t="shared" si="3"/>
        <v>1963.16</v>
      </c>
      <c r="K86" s="6"/>
    </row>
    <row r="87" spans="1:11" ht="24" x14ac:dyDescent="0.25">
      <c r="A87" s="3">
        <v>72</v>
      </c>
      <c r="B87" s="14" t="s">
        <v>26</v>
      </c>
      <c r="C87" s="15" t="str">
        <f>"2164-0254-15"</f>
        <v>2164-0254-15</v>
      </c>
      <c r="D87" s="15" t="str">
        <f t="shared" si="2"/>
        <v>EUROHERC OSIGURANJE D.D.</v>
      </c>
      <c r="E87" s="16">
        <v>42251</v>
      </c>
      <c r="F87" s="16"/>
      <c r="G87" s="13">
        <v>2617.56</v>
      </c>
      <c r="H87" s="16"/>
      <c r="I87" s="13">
        <v>2617.56</v>
      </c>
      <c r="J87" s="13">
        <f t="shared" si="3"/>
        <v>2617.56</v>
      </c>
      <c r="K87" s="6"/>
    </row>
    <row r="88" spans="1:11" ht="24" x14ac:dyDescent="0.25">
      <c r="A88" s="3">
        <v>73</v>
      </c>
      <c r="B88" s="14" t="s">
        <v>39</v>
      </c>
      <c r="C88" s="15" t="str">
        <f>"70/15"</f>
        <v>70/15</v>
      </c>
      <c r="D88" s="15" t="str">
        <f t="shared" si="2"/>
        <v>EUROHERC OSIGURANJE D.D.</v>
      </c>
      <c r="E88" s="16">
        <v>42048</v>
      </c>
      <c r="F88" s="16"/>
      <c r="G88" s="13">
        <v>134.36000000000001</v>
      </c>
      <c r="H88" s="16"/>
      <c r="I88" s="13">
        <v>134.36000000000001</v>
      </c>
      <c r="J88" s="13">
        <f t="shared" si="3"/>
        <v>134.36000000000001</v>
      </c>
      <c r="K88" s="6"/>
    </row>
    <row r="89" spans="1:11" ht="24" x14ac:dyDescent="0.25">
      <c r="A89" s="3">
        <v>74</v>
      </c>
      <c r="B89" s="14" t="s">
        <v>39</v>
      </c>
      <c r="C89" s="15" t="str">
        <f>"73/15"</f>
        <v>73/15</v>
      </c>
      <c r="D89" s="15" t="str">
        <f t="shared" si="2"/>
        <v>EUROHERC OSIGURANJE D.D.</v>
      </c>
      <c r="E89" s="16">
        <v>42076</v>
      </c>
      <c r="F89" s="16"/>
      <c r="G89" s="13">
        <v>9341.0400000000009</v>
      </c>
      <c r="H89" s="16"/>
      <c r="I89" s="13">
        <v>9341.0400000000009</v>
      </c>
      <c r="J89" s="13">
        <f t="shared" si="3"/>
        <v>9341.0400000000009</v>
      </c>
      <c r="K89" s="6"/>
    </row>
    <row r="90" spans="1:11" ht="24" x14ac:dyDescent="0.25">
      <c r="A90" s="3">
        <v>75</v>
      </c>
      <c r="B90" s="14" t="s">
        <v>39</v>
      </c>
      <c r="C90" s="15" t="str">
        <f>"124A"</f>
        <v>124A</v>
      </c>
      <c r="D90" s="15" t="str">
        <f t="shared" si="2"/>
        <v>EUROHERC OSIGURANJE D.D.</v>
      </c>
      <c r="E90" s="16">
        <v>42076</v>
      </c>
      <c r="F90" s="16"/>
      <c r="G90" s="13">
        <v>11009.03</v>
      </c>
      <c r="H90" s="16"/>
      <c r="I90" s="13">
        <v>11009.03</v>
      </c>
      <c r="J90" s="13">
        <f t="shared" si="3"/>
        <v>11009.03</v>
      </c>
      <c r="K90" s="6"/>
    </row>
    <row r="91" spans="1:11" ht="24" x14ac:dyDescent="0.25">
      <c r="A91" s="3">
        <v>76</v>
      </c>
      <c r="B91" s="14" t="s">
        <v>39</v>
      </c>
      <c r="C91" s="15" t="str">
        <f>"173/15"</f>
        <v>173/15</v>
      </c>
      <c r="D91" s="15" t="str">
        <f t="shared" si="2"/>
        <v>EUROHERC OSIGURANJE D.D.</v>
      </c>
      <c r="E91" s="16">
        <v>42103</v>
      </c>
      <c r="F91" s="16"/>
      <c r="G91" s="13">
        <v>100.19</v>
      </c>
      <c r="H91" s="16"/>
      <c r="I91" s="13">
        <v>100.19</v>
      </c>
      <c r="J91" s="13">
        <f t="shared" si="3"/>
        <v>100.19</v>
      </c>
      <c r="K91" s="6"/>
    </row>
    <row r="92" spans="1:11" ht="24" x14ac:dyDescent="0.25">
      <c r="A92" s="3">
        <v>77</v>
      </c>
      <c r="B92" s="14" t="s">
        <v>39</v>
      </c>
      <c r="C92" s="15" t="str">
        <f>"174/15"</f>
        <v>174/15</v>
      </c>
      <c r="D92" s="15" t="str">
        <f t="shared" si="2"/>
        <v>EUROHERC OSIGURANJE D.D.</v>
      </c>
      <c r="E92" s="16">
        <v>42103</v>
      </c>
      <c r="F92" s="16"/>
      <c r="G92" s="13">
        <v>17709.05</v>
      </c>
      <c r="H92" s="16"/>
      <c r="I92" s="13">
        <v>17709.05</v>
      </c>
      <c r="J92" s="13">
        <f t="shared" si="3"/>
        <v>17709.05</v>
      </c>
      <c r="K92" s="6"/>
    </row>
    <row r="93" spans="1:11" ht="24" x14ac:dyDescent="0.25">
      <c r="A93" s="3">
        <v>78</v>
      </c>
      <c r="B93" s="14" t="s">
        <v>39</v>
      </c>
      <c r="C93" s="15" t="str">
        <f>"324/15"</f>
        <v>324/15</v>
      </c>
      <c r="D93" s="15" t="str">
        <f t="shared" si="2"/>
        <v>EUROHERC OSIGURANJE D.D.</v>
      </c>
      <c r="E93" s="16">
        <v>42170</v>
      </c>
      <c r="F93" s="16"/>
      <c r="G93" s="13">
        <v>862.5</v>
      </c>
      <c r="H93" s="16"/>
      <c r="I93" s="13">
        <v>862.5</v>
      </c>
      <c r="J93" s="13">
        <f t="shared" si="3"/>
        <v>862.5</v>
      </c>
      <c r="K93" s="6"/>
    </row>
    <row r="94" spans="1:11" ht="24" x14ac:dyDescent="0.25">
      <c r="A94" s="3">
        <v>79</v>
      </c>
      <c r="B94" s="14" t="s">
        <v>39</v>
      </c>
      <c r="C94" s="15" t="str">
        <f>"366/15"</f>
        <v>366/15</v>
      </c>
      <c r="D94" s="15" t="str">
        <f t="shared" si="2"/>
        <v>EUROHERC OSIGURANJE D.D.</v>
      </c>
      <c r="E94" s="16">
        <v>42192</v>
      </c>
      <c r="F94" s="16"/>
      <c r="G94" s="13">
        <v>1242</v>
      </c>
      <c r="H94" s="16"/>
      <c r="I94" s="13">
        <v>1242</v>
      </c>
      <c r="J94" s="13">
        <f t="shared" si="3"/>
        <v>1242</v>
      </c>
      <c r="K94" s="6"/>
    </row>
    <row r="95" spans="1:11" ht="24" x14ac:dyDescent="0.25">
      <c r="A95" s="3">
        <v>80</v>
      </c>
      <c r="B95" s="14" t="s">
        <v>30</v>
      </c>
      <c r="C95" s="15" t="str">
        <f>"166/2015"</f>
        <v>166/2015</v>
      </c>
      <c r="D95" s="15" t="str">
        <f t="shared" si="2"/>
        <v>EUROHERC OSIGURANJE D.D.</v>
      </c>
      <c r="E95" s="16">
        <v>42107</v>
      </c>
      <c r="F95" s="16"/>
      <c r="G95" s="13">
        <v>3063</v>
      </c>
      <c r="H95" s="16"/>
      <c r="I95" s="13">
        <v>3063</v>
      </c>
      <c r="J95" s="13">
        <f t="shared" si="3"/>
        <v>3063</v>
      </c>
      <c r="K95" s="6"/>
    </row>
    <row r="96" spans="1:11" ht="24" x14ac:dyDescent="0.25">
      <c r="A96" s="3">
        <v>81</v>
      </c>
      <c r="B96" s="14" t="s">
        <v>30</v>
      </c>
      <c r="C96" s="15" t="str">
        <f>"167/2015"</f>
        <v>167/2015</v>
      </c>
      <c r="D96" s="15" t="str">
        <f t="shared" si="2"/>
        <v>EUROHERC OSIGURANJE D.D.</v>
      </c>
      <c r="E96" s="16">
        <v>42107</v>
      </c>
      <c r="F96" s="16"/>
      <c r="G96" s="13">
        <v>2777</v>
      </c>
      <c r="H96" s="16"/>
      <c r="I96" s="13">
        <v>2777</v>
      </c>
      <c r="J96" s="13">
        <f t="shared" si="3"/>
        <v>2777</v>
      </c>
      <c r="K96" s="6"/>
    </row>
    <row r="97" spans="1:11" ht="24" x14ac:dyDescent="0.25">
      <c r="A97" s="3">
        <v>82</v>
      </c>
      <c r="B97" s="14" t="s">
        <v>30</v>
      </c>
      <c r="C97" s="15" t="str">
        <f>"375/2015"</f>
        <v>375/2015</v>
      </c>
      <c r="D97" s="15" t="str">
        <f t="shared" si="2"/>
        <v>EUROHERC OSIGURANJE D.D.</v>
      </c>
      <c r="E97" s="16">
        <v>42241</v>
      </c>
      <c r="F97" s="16"/>
      <c r="G97" s="13">
        <v>4328</v>
      </c>
      <c r="H97" s="16"/>
      <c r="I97" s="13">
        <v>4328</v>
      </c>
      <c r="J97" s="13">
        <f t="shared" si="3"/>
        <v>4328</v>
      </c>
      <c r="K97" s="6"/>
    </row>
    <row r="98" spans="1:11" ht="24" x14ac:dyDescent="0.25">
      <c r="A98" s="3">
        <v>83</v>
      </c>
      <c r="B98" s="14" t="s">
        <v>29</v>
      </c>
      <c r="C98" s="15" t="str">
        <f>"POL. 5/2013"</f>
        <v>POL. 5/2013</v>
      </c>
      <c r="D98" s="15" t="str">
        <f t="shared" si="2"/>
        <v>EUROHERC OSIGURANJE D.D.</v>
      </c>
      <c r="E98" s="16">
        <v>41528</v>
      </c>
      <c r="F98" s="16"/>
      <c r="G98" s="13">
        <v>81737.22</v>
      </c>
      <c r="H98" s="16"/>
      <c r="I98" s="13">
        <v>81737.22</v>
      </c>
      <c r="J98" s="13">
        <f t="shared" si="3"/>
        <v>81737.22</v>
      </c>
      <c r="K98" s="6"/>
    </row>
    <row r="99" spans="1:11" ht="24" x14ac:dyDescent="0.25">
      <c r="A99" s="3">
        <v>84</v>
      </c>
      <c r="B99" s="14" t="s">
        <v>31</v>
      </c>
      <c r="C99" s="15" t="str">
        <f>"U112/14"</f>
        <v>U112/14</v>
      </c>
      <c r="D99" s="15" t="str">
        <f t="shared" si="2"/>
        <v>EUROHERC OSIGURANJE D.D.</v>
      </c>
      <c r="E99" s="16">
        <v>41913</v>
      </c>
      <c r="F99" s="16"/>
      <c r="G99" s="13">
        <v>268068.39</v>
      </c>
      <c r="H99" s="16"/>
      <c r="I99" s="13">
        <v>267897.94</v>
      </c>
      <c r="J99" s="13">
        <f t="shared" si="3"/>
        <v>267897.94</v>
      </c>
      <c r="K99" s="6"/>
    </row>
    <row r="100" spans="1:11" ht="24" x14ac:dyDescent="0.25">
      <c r="A100" s="3">
        <v>85</v>
      </c>
      <c r="B100" s="14" t="s">
        <v>31</v>
      </c>
      <c r="C100" s="15" t="str">
        <f>"109/14"</f>
        <v>109/14</v>
      </c>
      <c r="D100" s="15" t="str">
        <f t="shared" si="2"/>
        <v>EUROHERC OSIGURANJE D.D.</v>
      </c>
      <c r="E100" s="16">
        <v>41908</v>
      </c>
      <c r="F100" s="16"/>
      <c r="G100" s="13">
        <v>1101.78</v>
      </c>
      <c r="H100" s="16"/>
      <c r="I100" s="13">
        <v>1101.73</v>
      </c>
      <c r="J100" s="13">
        <f t="shared" si="3"/>
        <v>1101.73</v>
      </c>
      <c r="K100" s="6"/>
    </row>
    <row r="101" spans="1:11" ht="24" x14ac:dyDescent="0.25">
      <c r="A101" s="3">
        <v>86</v>
      </c>
      <c r="B101" s="14" t="s">
        <v>28</v>
      </c>
      <c r="C101" s="15" t="str">
        <f>"MGPU 5/2013"</f>
        <v>MGPU 5/2013</v>
      </c>
      <c r="D101" s="15" t="str">
        <f t="shared" si="2"/>
        <v>EUROHERC OSIGURANJE D.D.</v>
      </c>
      <c r="E101" s="16">
        <v>42036</v>
      </c>
      <c r="F101" s="16">
        <v>42269</v>
      </c>
      <c r="G101" s="13">
        <v>112848.4</v>
      </c>
      <c r="H101" s="16">
        <v>42269</v>
      </c>
      <c r="I101" s="13">
        <v>112848.4</v>
      </c>
      <c r="J101" s="13">
        <f t="shared" si="3"/>
        <v>112848.4</v>
      </c>
      <c r="K101" s="6"/>
    </row>
    <row r="102" spans="1:11" ht="24" x14ac:dyDescent="0.25">
      <c r="A102" s="3">
        <v>87</v>
      </c>
      <c r="B102" s="14" t="s">
        <v>44</v>
      </c>
      <c r="C102" s="15" t="str">
        <f>"5/2013-MFINPU-2"</f>
        <v>5/2013-MFINPU-2</v>
      </c>
      <c r="D102" s="15" t="str">
        <f t="shared" si="2"/>
        <v>EUROHERC OSIGURANJE D.D.</v>
      </c>
      <c r="E102" s="16">
        <v>42050</v>
      </c>
      <c r="F102" s="16"/>
      <c r="G102" s="13">
        <v>2136.2600000000002</v>
      </c>
      <c r="H102" s="16"/>
      <c r="I102" s="13">
        <v>2136.2600000000002</v>
      </c>
      <c r="J102" s="13">
        <f t="shared" si="3"/>
        <v>2136.2600000000002</v>
      </c>
      <c r="K102" s="6"/>
    </row>
    <row r="103" spans="1:11" ht="24" x14ac:dyDescent="0.25">
      <c r="A103" s="3">
        <v>88</v>
      </c>
      <c r="B103" s="14" t="s">
        <v>44</v>
      </c>
      <c r="C103" s="15" t="str">
        <f>"5/2013-MFINPU-3"</f>
        <v>5/2013-MFINPU-3</v>
      </c>
      <c r="D103" s="15" t="str">
        <f t="shared" si="2"/>
        <v>EUROHERC OSIGURANJE D.D.</v>
      </c>
      <c r="E103" s="16">
        <v>42074</v>
      </c>
      <c r="F103" s="16"/>
      <c r="G103" s="13">
        <v>911.93</v>
      </c>
      <c r="H103" s="16"/>
      <c r="I103" s="13">
        <v>911.93</v>
      </c>
      <c r="J103" s="13">
        <f t="shared" si="3"/>
        <v>911.93</v>
      </c>
      <c r="K103" s="6"/>
    </row>
    <row r="104" spans="1:11" ht="24" x14ac:dyDescent="0.25">
      <c r="A104" s="3">
        <v>89</v>
      </c>
      <c r="B104" s="14" t="s">
        <v>44</v>
      </c>
      <c r="C104" s="15" t="str">
        <f>"5/2013-MFINPU-4"</f>
        <v>5/2013-MFINPU-4</v>
      </c>
      <c r="D104" s="15" t="str">
        <f t="shared" si="2"/>
        <v>EUROHERC OSIGURANJE D.D.</v>
      </c>
      <c r="E104" s="16">
        <v>42076</v>
      </c>
      <c r="F104" s="16"/>
      <c r="G104" s="13">
        <v>9229.9599999999991</v>
      </c>
      <c r="H104" s="16"/>
      <c r="I104" s="13">
        <v>9229.9599999999991</v>
      </c>
      <c r="J104" s="13">
        <f t="shared" si="3"/>
        <v>9229.9599999999991</v>
      </c>
      <c r="K104" s="6"/>
    </row>
    <row r="105" spans="1:11" ht="24" x14ac:dyDescent="0.25">
      <c r="A105" s="3">
        <v>90</v>
      </c>
      <c r="B105" s="14" t="s">
        <v>44</v>
      </c>
      <c r="C105" s="15" t="str">
        <f>"5/2013-MFINPU-5"</f>
        <v>5/2013-MFINPU-5</v>
      </c>
      <c r="D105" s="15" t="str">
        <f t="shared" si="2"/>
        <v>EUROHERC OSIGURANJE D.D.</v>
      </c>
      <c r="E105" s="16">
        <v>42091</v>
      </c>
      <c r="F105" s="16"/>
      <c r="G105" s="13">
        <v>1407.75</v>
      </c>
      <c r="H105" s="16"/>
      <c r="I105" s="13">
        <v>1407.75</v>
      </c>
      <c r="J105" s="13">
        <f t="shared" si="3"/>
        <v>1407.75</v>
      </c>
      <c r="K105" s="6"/>
    </row>
    <row r="106" spans="1:11" ht="24" x14ac:dyDescent="0.25">
      <c r="A106" s="3">
        <v>91</v>
      </c>
      <c r="B106" s="14" t="s">
        <v>44</v>
      </c>
      <c r="C106" s="15" t="str">
        <f>"5/2013-MFINPU-6"</f>
        <v>5/2013-MFINPU-6</v>
      </c>
      <c r="D106" s="15" t="str">
        <f t="shared" si="2"/>
        <v>EUROHERC OSIGURANJE D.D.</v>
      </c>
      <c r="E106" s="16">
        <v>42103</v>
      </c>
      <c r="F106" s="16"/>
      <c r="G106" s="13">
        <v>218905.17</v>
      </c>
      <c r="H106" s="16"/>
      <c r="I106" s="13">
        <v>218905.17</v>
      </c>
      <c r="J106" s="13">
        <f t="shared" si="3"/>
        <v>218905.17</v>
      </c>
      <c r="K106" s="6"/>
    </row>
    <row r="107" spans="1:11" ht="24" x14ac:dyDescent="0.25">
      <c r="A107" s="3">
        <v>92</v>
      </c>
      <c r="B107" s="14" t="s">
        <v>44</v>
      </c>
      <c r="C107" s="15" t="str">
        <f>"5/2013-MFINPU-7"</f>
        <v>5/2013-MFINPU-7</v>
      </c>
      <c r="D107" s="15" t="str">
        <f t="shared" si="2"/>
        <v>EUROHERC OSIGURANJE D.D.</v>
      </c>
      <c r="E107" s="16">
        <v>42136</v>
      </c>
      <c r="F107" s="16"/>
      <c r="G107" s="13">
        <v>2823.38</v>
      </c>
      <c r="H107" s="16"/>
      <c r="I107" s="13">
        <v>2823.38</v>
      </c>
      <c r="J107" s="13">
        <f t="shared" si="3"/>
        <v>2823.38</v>
      </c>
      <c r="K107" s="6"/>
    </row>
    <row r="108" spans="1:11" ht="24" x14ac:dyDescent="0.25">
      <c r="A108" s="3">
        <v>93</v>
      </c>
      <c r="B108" s="14" t="s">
        <v>44</v>
      </c>
      <c r="C108" s="15" t="str">
        <f>"52013-MFINPU-8"</f>
        <v>52013-MFINPU-8</v>
      </c>
      <c r="D108" s="15" t="str">
        <f t="shared" si="2"/>
        <v>EUROHERC OSIGURANJE D.D.</v>
      </c>
      <c r="E108" s="16">
        <v>42137</v>
      </c>
      <c r="F108" s="16"/>
      <c r="G108" s="13">
        <v>9216.9699999999993</v>
      </c>
      <c r="H108" s="16"/>
      <c r="I108" s="13">
        <v>9216.9699999999993</v>
      </c>
      <c r="J108" s="13">
        <f t="shared" si="3"/>
        <v>9216.9699999999993</v>
      </c>
      <c r="K108" s="6"/>
    </row>
    <row r="109" spans="1:11" ht="24" x14ac:dyDescent="0.25">
      <c r="A109" s="3">
        <v>94</v>
      </c>
      <c r="B109" s="14" t="s">
        <v>44</v>
      </c>
      <c r="C109" s="15" t="str">
        <f>"5/2013MFINPU - 9"</f>
        <v>5/2013MFINPU - 9</v>
      </c>
      <c r="D109" s="15" t="str">
        <f t="shared" si="2"/>
        <v>EUROHERC OSIGURANJE D.D.</v>
      </c>
      <c r="E109" s="16">
        <v>42145</v>
      </c>
      <c r="F109" s="16"/>
      <c r="G109" s="13">
        <v>395.14</v>
      </c>
      <c r="H109" s="16"/>
      <c r="I109" s="13">
        <v>395.14</v>
      </c>
      <c r="J109" s="13">
        <f t="shared" si="3"/>
        <v>395.14</v>
      </c>
      <c r="K109" s="6"/>
    </row>
    <row r="110" spans="1:11" ht="24" x14ac:dyDescent="0.25">
      <c r="A110" s="3">
        <v>95</v>
      </c>
      <c r="B110" s="14" t="s">
        <v>44</v>
      </c>
      <c r="C110" s="15" t="str">
        <f>"5/2013-MFINPU-10"</f>
        <v>5/2013-MFINPU-10</v>
      </c>
      <c r="D110" s="15" t="str">
        <f t="shared" si="2"/>
        <v>EUROHERC OSIGURANJE D.D.</v>
      </c>
      <c r="E110" s="16">
        <v>42161</v>
      </c>
      <c r="F110" s="16"/>
      <c r="G110" s="13">
        <v>1998.95</v>
      </c>
      <c r="H110" s="16"/>
      <c r="I110" s="13">
        <v>1998.95</v>
      </c>
      <c r="J110" s="13">
        <f t="shared" si="3"/>
        <v>1998.95</v>
      </c>
      <c r="K110" s="6"/>
    </row>
    <row r="111" spans="1:11" ht="24" x14ac:dyDescent="0.25">
      <c r="A111" s="3">
        <v>96</v>
      </c>
      <c r="B111" s="14" t="s">
        <v>44</v>
      </c>
      <c r="C111" s="15" t="str">
        <f>"5/2013-MFINPU-11"</f>
        <v>5/2013-MFINPU-11</v>
      </c>
      <c r="D111" s="15" t="str">
        <f t="shared" si="2"/>
        <v>EUROHERC OSIGURANJE D.D.</v>
      </c>
      <c r="E111" s="16">
        <v>42163</v>
      </c>
      <c r="F111" s="16"/>
      <c r="G111" s="13">
        <v>3103.86</v>
      </c>
      <c r="H111" s="16"/>
      <c r="I111" s="13">
        <v>3103.86</v>
      </c>
      <c r="J111" s="13">
        <f t="shared" si="3"/>
        <v>3103.86</v>
      </c>
      <c r="K111" s="6"/>
    </row>
    <row r="112" spans="1:11" ht="24" x14ac:dyDescent="0.25">
      <c r="A112" s="3">
        <v>97</v>
      </c>
      <c r="B112" s="14" t="s">
        <v>44</v>
      </c>
      <c r="C112" s="15" t="str">
        <f>"5/2013-MFINPU-12"</f>
        <v>5/2013-MFINPU-12</v>
      </c>
      <c r="D112" s="15" t="str">
        <f t="shared" si="2"/>
        <v>EUROHERC OSIGURANJE D.D.</v>
      </c>
      <c r="E112" s="16">
        <v>42165</v>
      </c>
      <c r="F112" s="16"/>
      <c r="G112" s="13">
        <v>3369.23</v>
      </c>
      <c r="H112" s="16"/>
      <c r="I112" s="13">
        <v>3369.23</v>
      </c>
      <c r="J112" s="13">
        <f t="shared" si="3"/>
        <v>3369.23</v>
      </c>
      <c r="K112" s="6"/>
    </row>
    <row r="113" spans="1:11" ht="24" x14ac:dyDescent="0.25">
      <c r="A113" s="3">
        <v>98</v>
      </c>
      <c r="B113" s="14" t="s">
        <v>44</v>
      </c>
      <c r="C113" s="15" t="str">
        <f>"5/2013-MFINPU-13"</f>
        <v>5/2013-MFINPU-13</v>
      </c>
      <c r="D113" s="15" t="str">
        <f t="shared" si="2"/>
        <v>EUROHERC OSIGURANJE D.D.</v>
      </c>
      <c r="E113" s="16">
        <v>42167</v>
      </c>
      <c r="F113" s="16"/>
      <c r="G113" s="13">
        <v>10531.88</v>
      </c>
      <c r="H113" s="16"/>
      <c r="I113" s="13">
        <v>10531.88</v>
      </c>
      <c r="J113" s="13">
        <f t="shared" si="3"/>
        <v>10531.88</v>
      </c>
      <c r="K113" s="6"/>
    </row>
    <row r="114" spans="1:11" ht="36" x14ac:dyDescent="0.25">
      <c r="A114" s="3">
        <v>99</v>
      </c>
      <c r="B114" s="14" t="s">
        <v>34</v>
      </c>
      <c r="C114" s="15" t="str">
        <f>"NAR/2015"</f>
        <v>NAR/2015</v>
      </c>
      <c r="D114" s="15" t="str">
        <f t="shared" si="2"/>
        <v>EUROHERC OSIGURANJE D.D.</v>
      </c>
      <c r="E114" s="16">
        <v>42005</v>
      </c>
      <c r="F114" s="16">
        <v>42267</v>
      </c>
      <c r="G114" s="13">
        <v>86156.12</v>
      </c>
      <c r="H114" s="16">
        <v>42267</v>
      </c>
      <c r="I114" s="13">
        <v>86156.12</v>
      </c>
      <c r="J114" s="13">
        <f t="shared" si="3"/>
        <v>86156.12</v>
      </c>
      <c r="K114" s="6"/>
    </row>
    <row r="115" spans="1:11" ht="24" x14ac:dyDescent="0.25">
      <c r="A115" s="3">
        <v>100</v>
      </c>
      <c r="B115" s="14" t="s">
        <v>25</v>
      </c>
      <c r="C115" s="15" t="str">
        <f>"8101751289"</f>
        <v>8101751289</v>
      </c>
      <c r="D115" s="15" t="str">
        <f t="shared" si="2"/>
        <v>EUROHERC OSIGURANJE D.D.</v>
      </c>
      <c r="E115" s="16">
        <v>42075</v>
      </c>
      <c r="F115" s="16"/>
      <c r="G115" s="13">
        <v>5999.69</v>
      </c>
      <c r="H115" s="16"/>
      <c r="I115" s="13">
        <v>5999.69</v>
      </c>
      <c r="J115" s="13">
        <f t="shared" si="3"/>
        <v>5999.69</v>
      </c>
      <c r="K115" s="6"/>
    </row>
    <row r="116" spans="1:11" ht="24" x14ac:dyDescent="0.25">
      <c r="A116" s="3">
        <v>101</v>
      </c>
      <c r="B116" s="14" t="s">
        <v>25</v>
      </c>
      <c r="C116" s="15" t="str">
        <f>"8101839774"</f>
        <v>8101839774</v>
      </c>
      <c r="D116" s="15" t="str">
        <f t="shared" si="2"/>
        <v>EUROHERC OSIGURANJE D.D.</v>
      </c>
      <c r="E116" s="16">
        <v>42094</v>
      </c>
      <c r="F116" s="16"/>
      <c r="G116" s="13">
        <v>2890.24</v>
      </c>
      <c r="H116" s="16"/>
      <c r="I116" s="13">
        <v>2890.24</v>
      </c>
      <c r="J116" s="13">
        <f t="shared" si="3"/>
        <v>2890.24</v>
      </c>
      <c r="K116" s="6"/>
    </row>
    <row r="117" spans="1:11" ht="24" x14ac:dyDescent="0.25">
      <c r="A117" s="3">
        <v>102</v>
      </c>
      <c r="B117" s="14" t="s">
        <v>25</v>
      </c>
      <c r="C117" s="15" t="str">
        <f>"8101839773"</f>
        <v>8101839773</v>
      </c>
      <c r="D117" s="15" t="str">
        <f t="shared" si="2"/>
        <v>EUROHERC OSIGURANJE D.D.</v>
      </c>
      <c r="E117" s="16">
        <v>42094</v>
      </c>
      <c r="F117" s="16"/>
      <c r="G117" s="13">
        <v>2890.24</v>
      </c>
      <c r="H117" s="16"/>
      <c r="I117" s="13">
        <v>2890.24</v>
      </c>
      <c r="J117" s="13">
        <f t="shared" si="3"/>
        <v>2890.24</v>
      </c>
      <c r="K117" s="6"/>
    </row>
    <row r="118" spans="1:11" ht="24" x14ac:dyDescent="0.25">
      <c r="A118" s="3">
        <v>103</v>
      </c>
      <c r="B118" s="14" t="s">
        <v>25</v>
      </c>
      <c r="C118" s="15" t="str">
        <f>"8101842758"</f>
        <v>8101842758</v>
      </c>
      <c r="D118" s="15" t="str">
        <f t="shared" si="2"/>
        <v>EUROHERC OSIGURANJE D.D.</v>
      </c>
      <c r="E118" s="16">
        <v>42104</v>
      </c>
      <c r="F118" s="16"/>
      <c r="G118" s="13">
        <v>2086.56</v>
      </c>
      <c r="H118" s="16"/>
      <c r="I118" s="13">
        <v>2086.56</v>
      </c>
      <c r="J118" s="13">
        <f t="shared" si="3"/>
        <v>2086.56</v>
      </c>
      <c r="K118" s="6"/>
    </row>
    <row r="119" spans="1:11" ht="24" x14ac:dyDescent="0.25">
      <c r="A119" s="3">
        <v>104</v>
      </c>
      <c r="B119" s="14" t="s">
        <v>25</v>
      </c>
      <c r="C119" s="15" t="str">
        <f>"8101805168"</f>
        <v>8101805168</v>
      </c>
      <c r="D119" s="15" t="str">
        <f t="shared" si="2"/>
        <v>EUROHERC OSIGURANJE D.D.</v>
      </c>
      <c r="E119" s="16">
        <v>42105</v>
      </c>
      <c r="F119" s="16"/>
      <c r="G119" s="13">
        <v>3669.7</v>
      </c>
      <c r="H119" s="16"/>
      <c r="I119" s="13">
        <v>3669.7</v>
      </c>
      <c r="J119" s="13">
        <f t="shared" si="3"/>
        <v>3669.7</v>
      </c>
      <c r="K119" s="6"/>
    </row>
    <row r="120" spans="1:11" ht="24" x14ac:dyDescent="0.25">
      <c r="A120" s="3">
        <v>105</v>
      </c>
      <c r="B120" s="14" t="s">
        <v>25</v>
      </c>
      <c r="C120" s="15" t="str">
        <f>"8101805169"</f>
        <v>8101805169</v>
      </c>
      <c r="D120" s="15" t="str">
        <f t="shared" si="2"/>
        <v>EUROHERC OSIGURANJE D.D.</v>
      </c>
      <c r="E120" s="16">
        <v>42109</v>
      </c>
      <c r="F120" s="16"/>
      <c r="G120" s="13">
        <v>3845.28</v>
      </c>
      <c r="H120" s="16"/>
      <c r="I120" s="13">
        <v>3845.28</v>
      </c>
      <c r="J120" s="13">
        <f t="shared" si="3"/>
        <v>3845.28</v>
      </c>
      <c r="K120" s="6"/>
    </row>
    <row r="121" spans="1:11" ht="24" x14ac:dyDescent="0.25">
      <c r="A121" s="3">
        <v>106</v>
      </c>
      <c r="B121" s="14" t="s">
        <v>25</v>
      </c>
      <c r="C121" s="15" t="str">
        <f>"8101805175"</f>
        <v>8101805175</v>
      </c>
      <c r="D121" s="15" t="str">
        <f t="shared" si="2"/>
        <v>EUROHERC OSIGURANJE D.D.</v>
      </c>
      <c r="E121" s="16">
        <v>42109</v>
      </c>
      <c r="F121" s="16"/>
      <c r="G121" s="13">
        <v>3071.25</v>
      </c>
      <c r="H121" s="16"/>
      <c r="I121" s="13">
        <v>3071.25</v>
      </c>
      <c r="J121" s="13">
        <f t="shared" si="3"/>
        <v>3071.25</v>
      </c>
      <c r="K121" s="6"/>
    </row>
    <row r="122" spans="1:11" ht="24" x14ac:dyDescent="0.25">
      <c r="A122" s="3">
        <v>107</v>
      </c>
      <c r="B122" s="14" t="s">
        <v>25</v>
      </c>
      <c r="C122" s="15" t="str">
        <f>"8101805170"</f>
        <v>8101805170</v>
      </c>
      <c r="D122" s="15" t="str">
        <f t="shared" si="2"/>
        <v>EUROHERC OSIGURANJE D.D.</v>
      </c>
      <c r="E122" s="16">
        <v>42109</v>
      </c>
      <c r="F122" s="16"/>
      <c r="G122" s="13">
        <v>3845.28</v>
      </c>
      <c r="H122" s="16"/>
      <c r="I122" s="13">
        <v>3845.28</v>
      </c>
      <c r="J122" s="13">
        <f t="shared" si="3"/>
        <v>3845.28</v>
      </c>
      <c r="K122" s="6"/>
    </row>
    <row r="123" spans="1:11" ht="24" x14ac:dyDescent="0.25">
      <c r="A123" s="3">
        <v>108</v>
      </c>
      <c r="B123" s="14" t="s">
        <v>25</v>
      </c>
      <c r="C123" s="15" t="str">
        <f>"8101805174"</f>
        <v>8101805174</v>
      </c>
      <c r="D123" s="15" t="str">
        <f t="shared" si="2"/>
        <v>EUROHERC OSIGURANJE D.D.</v>
      </c>
      <c r="E123" s="16">
        <v>42109</v>
      </c>
      <c r="F123" s="16"/>
      <c r="G123" s="13">
        <v>3067</v>
      </c>
      <c r="H123" s="16"/>
      <c r="I123" s="13">
        <v>3067</v>
      </c>
      <c r="J123" s="13">
        <f t="shared" si="3"/>
        <v>3067</v>
      </c>
      <c r="K123" s="6"/>
    </row>
    <row r="124" spans="1:11" ht="24" x14ac:dyDescent="0.25">
      <c r="A124" s="3">
        <v>109</v>
      </c>
      <c r="B124" s="14" t="s">
        <v>25</v>
      </c>
      <c r="C124" s="15" t="str">
        <f>"8101805173"</f>
        <v>8101805173</v>
      </c>
      <c r="D124" s="15" t="str">
        <f t="shared" si="2"/>
        <v>EUROHERC OSIGURANJE D.D.</v>
      </c>
      <c r="E124" s="16">
        <v>42109</v>
      </c>
      <c r="F124" s="16"/>
      <c r="G124" s="13">
        <v>3067.44</v>
      </c>
      <c r="H124" s="16"/>
      <c r="I124" s="13">
        <v>3067.44</v>
      </c>
      <c r="J124" s="13">
        <f t="shared" si="3"/>
        <v>3067.44</v>
      </c>
      <c r="K124" s="6"/>
    </row>
    <row r="125" spans="1:11" ht="24" x14ac:dyDescent="0.25">
      <c r="A125" s="3">
        <v>110</v>
      </c>
      <c r="B125" s="14" t="s">
        <v>25</v>
      </c>
      <c r="C125" s="15" t="str">
        <f>"831171538-KASKO"</f>
        <v>831171538-KASKO</v>
      </c>
      <c r="D125" s="15" t="str">
        <f t="shared" si="2"/>
        <v>EUROHERC OSIGURANJE D.D.</v>
      </c>
      <c r="E125" s="16">
        <v>42111</v>
      </c>
      <c r="F125" s="16"/>
      <c r="G125" s="13">
        <v>19.61</v>
      </c>
      <c r="H125" s="16"/>
      <c r="I125" s="13">
        <v>19.61</v>
      </c>
      <c r="J125" s="13">
        <f t="shared" si="3"/>
        <v>19.61</v>
      </c>
      <c r="K125" s="6"/>
    </row>
    <row r="126" spans="1:11" ht="24" x14ac:dyDescent="0.25">
      <c r="A126" s="3">
        <v>111</v>
      </c>
      <c r="B126" s="14" t="s">
        <v>25</v>
      </c>
      <c r="C126" s="15" t="str">
        <f>"831171537-KASKO"</f>
        <v>831171537-KASKO</v>
      </c>
      <c r="D126" s="15" t="str">
        <f t="shared" si="2"/>
        <v>EUROHERC OSIGURANJE D.D.</v>
      </c>
      <c r="E126" s="16">
        <v>42111</v>
      </c>
      <c r="F126" s="16"/>
      <c r="G126" s="13">
        <v>12.65</v>
      </c>
      <c r="H126" s="16"/>
      <c r="I126" s="13">
        <v>12.65</v>
      </c>
      <c r="J126" s="13">
        <f t="shared" si="3"/>
        <v>12.65</v>
      </c>
      <c r="K126" s="6"/>
    </row>
    <row r="127" spans="1:11" ht="24" x14ac:dyDescent="0.25">
      <c r="A127" s="3">
        <v>112</v>
      </c>
      <c r="B127" s="14" t="s">
        <v>25</v>
      </c>
      <c r="C127" s="15" t="str">
        <f>"831171540"</f>
        <v>831171540</v>
      </c>
      <c r="D127" s="15" t="str">
        <f t="shared" si="2"/>
        <v>EUROHERC OSIGURANJE D.D.</v>
      </c>
      <c r="E127" s="16">
        <v>42111</v>
      </c>
      <c r="F127" s="16"/>
      <c r="G127" s="13">
        <v>24</v>
      </c>
      <c r="H127" s="16"/>
      <c r="I127" s="13">
        <v>24</v>
      </c>
      <c r="J127" s="13">
        <f t="shared" si="3"/>
        <v>24</v>
      </c>
      <c r="K127" s="6"/>
    </row>
    <row r="128" spans="1:11" ht="24" x14ac:dyDescent="0.25">
      <c r="A128" s="3">
        <v>113</v>
      </c>
      <c r="B128" s="14" t="s">
        <v>25</v>
      </c>
      <c r="C128" s="15" t="str">
        <f>"831171536-KASKO"</f>
        <v>831171536-KASKO</v>
      </c>
      <c r="D128" s="15" t="str">
        <f t="shared" si="2"/>
        <v>EUROHERC OSIGURANJE D.D.</v>
      </c>
      <c r="E128" s="16">
        <v>42111</v>
      </c>
      <c r="F128" s="16"/>
      <c r="G128" s="13">
        <v>12.65</v>
      </c>
      <c r="H128" s="16"/>
      <c r="I128" s="13">
        <v>12.65</v>
      </c>
      <c r="J128" s="13">
        <f t="shared" si="3"/>
        <v>12.65</v>
      </c>
      <c r="K128" s="6"/>
    </row>
    <row r="129" spans="1:11" ht="24" x14ac:dyDescent="0.25">
      <c r="A129" s="3">
        <v>114</v>
      </c>
      <c r="B129" s="14" t="s">
        <v>25</v>
      </c>
      <c r="C129" s="15" t="str">
        <f>"831171539-KASKO"</f>
        <v>831171539-KASKO</v>
      </c>
      <c r="D129" s="15" t="str">
        <f t="shared" si="2"/>
        <v>EUROHERC OSIGURANJE D.D.</v>
      </c>
      <c r="E129" s="16">
        <v>42111</v>
      </c>
      <c r="F129" s="16"/>
      <c r="G129" s="13">
        <v>19.61</v>
      </c>
      <c r="H129" s="16"/>
      <c r="I129" s="13">
        <v>19.61</v>
      </c>
      <c r="J129" s="13">
        <f t="shared" si="3"/>
        <v>19.61</v>
      </c>
      <c r="K129" s="6"/>
    </row>
    <row r="130" spans="1:11" ht="24" x14ac:dyDescent="0.25">
      <c r="A130" s="3">
        <v>115</v>
      </c>
      <c r="B130" s="14" t="s">
        <v>25</v>
      </c>
      <c r="C130" s="15" t="str">
        <f>"831176086-KASKO"</f>
        <v>831176086-KASKO</v>
      </c>
      <c r="D130" s="15" t="str">
        <f t="shared" si="2"/>
        <v>EUROHERC OSIGURANJE D.D.</v>
      </c>
      <c r="E130" s="16">
        <v>42124</v>
      </c>
      <c r="F130" s="16"/>
      <c r="G130" s="13">
        <v>10.85</v>
      </c>
      <c r="H130" s="16"/>
      <c r="I130" s="13">
        <v>10.85</v>
      </c>
      <c r="J130" s="13">
        <f t="shared" si="3"/>
        <v>10.85</v>
      </c>
      <c r="K130" s="6"/>
    </row>
    <row r="131" spans="1:11" ht="24" x14ac:dyDescent="0.25">
      <c r="A131" s="3">
        <v>116</v>
      </c>
      <c r="B131" s="14" t="s">
        <v>25</v>
      </c>
      <c r="C131" s="15" t="str">
        <f>"831171541-KASKO"</f>
        <v>831171541-KASKO</v>
      </c>
      <c r="D131" s="15" t="str">
        <f t="shared" si="2"/>
        <v>EUROHERC OSIGURANJE D.D.</v>
      </c>
      <c r="E131" s="16">
        <v>42124</v>
      </c>
      <c r="F131" s="16"/>
      <c r="G131" s="13">
        <v>10.85</v>
      </c>
      <c r="H131" s="16"/>
      <c r="I131" s="13">
        <v>10.85</v>
      </c>
      <c r="J131" s="13">
        <f t="shared" si="3"/>
        <v>10.85</v>
      </c>
      <c r="K131" s="6"/>
    </row>
    <row r="132" spans="1:11" ht="24" x14ac:dyDescent="0.25">
      <c r="A132" s="3">
        <v>117</v>
      </c>
      <c r="B132" s="14" t="s">
        <v>27</v>
      </c>
      <c r="C132" s="15" t="str">
        <f>"5/2013-MUP-240"</f>
        <v>5/2013-MUP-240</v>
      </c>
      <c r="D132" s="15" t="str">
        <f t="shared" si="2"/>
        <v>EUROHERC OSIGURANJE D.D.</v>
      </c>
      <c r="E132" s="16">
        <v>42268</v>
      </c>
      <c r="F132" s="16">
        <v>42634</v>
      </c>
      <c r="G132" s="13">
        <v>2703.71</v>
      </c>
      <c r="H132" s="16">
        <v>42634</v>
      </c>
      <c r="I132" s="13">
        <v>2703.71</v>
      </c>
      <c r="J132" s="13">
        <f t="shared" si="3"/>
        <v>2703.71</v>
      </c>
      <c r="K132" s="6"/>
    </row>
    <row r="133" spans="1:11" ht="24" x14ac:dyDescent="0.25">
      <c r="A133" s="3">
        <v>118</v>
      </c>
      <c r="B133" s="14" t="s">
        <v>27</v>
      </c>
      <c r="C133" s="15" t="str">
        <f>"5/2013-MUP-239"</f>
        <v>5/2013-MUP-239</v>
      </c>
      <c r="D133" s="15" t="str">
        <f t="shared" si="2"/>
        <v>EUROHERC OSIGURANJE D.D.</v>
      </c>
      <c r="E133" s="16">
        <v>42267</v>
      </c>
      <c r="F133" s="16">
        <v>42633</v>
      </c>
      <c r="G133" s="13">
        <v>3641.09</v>
      </c>
      <c r="H133" s="16">
        <v>42633</v>
      </c>
      <c r="I133" s="13">
        <v>3641.09</v>
      </c>
      <c r="J133" s="13">
        <f t="shared" si="3"/>
        <v>3641.09</v>
      </c>
      <c r="K133" s="6"/>
    </row>
    <row r="134" spans="1:11" ht="24" x14ac:dyDescent="0.25">
      <c r="A134" s="3">
        <v>119</v>
      </c>
      <c r="B134" s="14" t="s">
        <v>27</v>
      </c>
      <c r="C134" s="15" t="str">
        <f>"5/2013-MUP-238"</f>
        <v>5/2013-MUP-238</v>
      </c>
      <c r="D134" s="15" t="str">
        <f t="shared" si="2"/>
        <v>EUROHERC OSIGURANJE D.D.</v>
      </c>
      <c r="E134" s="16">
        <v>42266</v>
      </c>
      <c r="F134" s="16">
        <v>42632</v>
      </c>
      <c r="G134" s="13">
        <v>4525.9799999999996</v>
      </c>
      <c r="H134" s="16">
        <v>42632</v>
      </c>
      <c r="I134" s="13">
        <v>4525.9799999999996</v>
      </c>
      <c r="J134" s="13">
        <f t="shared" si="3"/>
        <v>4525.9799999999996</v>
      </c>
      <c r="K134" s="6"/>
    </row>
    <row r="135" spans="1:11" ht="24" x14ac:dyDescent="0.25">
      <c r="A135" s="3">
        <v>120</v>
      </c>
      <c r="B135" s="14" t="s">
        <v>27</v>
      </c>
      <c r="C135" s="15" t="str">
        <f>"5/2013-MUP-237"</f>
        <v>5/2013-MUP-237</v>
      </c>
      <c r="D135" s="15" t="str">
        <f t="shared" si="2"/>
        <v>EUROHERC OSIGURANJE D.D.</v>
      </c>
      <c r="E135" s="16">
        <v>42265</v>
      </c>
      <c r="F135" s="16">
        <v>42631</v>
      </c>
      <c r="G135" s="13">
        <v>119863.49</v>
      </c>
      <c r="H135" s="16">
        <v>42631</v>
      </c>
      <c r="I135" s="13">
        <v>119863.49</v>
      </c>
      <c r="J135" s="13">
        <f t="shared" si="3"/>
        <v>119863.49</v>
      </c>
      <c r="K135" s="6"/>
    </row>
    <row r="136" spans="1:11" ht="24" x14ac:dyDescent="0.25">
      <c r="A136" s="3">
        <v>121</v>
      </c>
      <c r="B136" s="14" t="s">
        <v>27</v>
      </c>
      <c r="C136" s="15" t="str">
        <f>"5/2013-MUP-236"</f>
        <v>5/2013-MUP-236</v>
      </c>
      <c r="D136" s="15" t="str">
        <f t="shared" si="2"/>
        <v>EUROHERC OSIGURANJE D.D.</v>
      </c>
      <c r="E136" s="16">
        <v>42264</v>
      </c>
      <c r="F136" s="16">
        <v>42630</v>
      </c>
      <c r="G136" s="13">
        <v>1955.9</v>
      </c>
      <c r="H136" s="16">
        <v>42630</v>
      </c>
      <c r="I136" s="13">
        <v>1955.9</v>
      </c>
      <c r="J136" s="13">
        <f t="shared" si="3"/>
        <v>1955.9</v>
      </c>
      <c r="K136" s="6"/>
    </row>
    <row r="137" spans="1:11" ht="24" x14ac:dyDescent="0.25">
      <c r="A137" s="3">
        <v>122</v>
      </c>
      <c r="B137" s="14" t="s">
        <v>27</v>
      </c>
      <c r="C137" s="15" t="str">
        <f>"5/2013-MUP-235"</f>
        <v>5/2013-MUP-235</v>
      </c>
      <c r="D137" s="15" t="str">
        <f t="shared" si="2"/>
        <v>EUROHERC OSIGURANJE D.D.</v>
      </c>
      <c r="E137" s="16">
        <v>42263</v>
      </c>
      <c r="F137" s="16">
        <v>42629</v>
      </c>
      <c r="G137" s="13">
        <v>42815.65</v>
      </c>
      <c r="H137" s="16">
        <v>42629</v>
      </c>
      <c r="I137" s="13">
        <v>42815.65</v>
      </c>
      <c r="J137" s="13">
        <f t="shared" si="3"/>
        <v>42815.65</v>
      </c>
      <c r="K137" s="6"/>
    </row>
    <row r="138" spans="1:11" ht="24" x14ac:dyDescent="0.25">
      <c r="A138" s="3">
        <v>123</v>
      </c>
      <c r="B138" s="14" t="s">
        <v>27</v>
      </c>
      <c r="C138" s="15" t="str">
        <f>"5/2013-MUP-234"</f>
        <v>5/2013-MUP-234</v>
      </c>
      <c r="D138" s="15" t="str">
        <f t="shared" si="2"/>
        <v>EUROHERC OSIGURANJE D.D.</v>
      </c>
      <c r="E138" s="16">
        <v>42262</v>
      </c>
      <c r="F138" s="16">
        <v>42628</v>
      </c>
      <c r="G138" s="13">
        <v>3745.95</v>
      </c>
      <c r="H138" s="16">
        <v>42628</v>
      </c>
      <c r="I138" s="13">
        <v>3745.95</v>
      </c>
      <c r="J138" s="13">
        <f t="shared" si="3"/>
        <v>3745.95</v>
      </c>
      <c r="K138" s="6"/>
    </row>
    <row r="139" spans="1:11" ht="24" x14ac:dyDescent="0.25">
      <c r="A139" s="3">
        <v>124</v>
      </c>
      <c r="B139" s="14" t="s">
        <v>27</v>
      </c>
      <c r="C139" s="15" t="str">
        <f>"5/2013-MUP-233"</f>
        <v>5/2013-MUP-233</v>
      </c>
      <c r="D139" s="15" t="str">
        <f t="shared" si="2"/>
        <v>EUROHERC OSIGURANJE D.D.</v>
      </c>
      <c r="E139" s="16">
        <v>42261</v>
      </c>
      <c r="F139" s="16">
        <v>42627</v>
      </c>
      <c r="G139" s="13">
        <v>4972.26</v>
      </c>
      <c r="H139" s="16">
        <v>42627</v>
      </c>
      <c r="I139" s="13">
        <v>4972.26</v>
      </c>
      <c r="J139" s="13">
        <f t="shared" si="3"/>
        <v>4972.26</v>
      </c>
      <c r="K139" s="6"/>
    </row>
    <row r="140" spans="1:11" ht="24" x14ac:dyDescent="0.25">
      <c r="A140" s="3">
        <v>125</v>
      </c>
      <c r="B140" s="14" t="s">
        <v>27</v>
      </c>
      <c r="C140" s="15" t="str">
        <f>"5/2013-MUP-232"</f>
        <v>5/2013-MUP-232</v>
      </c>
      <c r="D140" s="15" t="str">
        <f t="shared" si="2"/>
        <v>EUROHERC OSIGURANJE D.D.</v>
      </c>
      <c r="E140" s="16">
        <v>42260</v>
      </c>
      <c r="F140" s="16">
        <v>42626</v>
      </c>
      <c r="G140" s="13">
        <v>4675.4799999999996</v>
      </c>
      <c r="H140" s="16">
        <v>42626</v>
      </c>
      <c r="I140" s="13">
        <v>4675.4799999999996</v>
      </c>
      <c r="J140" s="13">
        <f t="shared" si="3"/>
        <v>4675.4799999999996</v>
      </c>
      <c r="K140" s="6"/>
    </row>
    <row r="141" spans="1:11" ht="24" x14ac:dyDescent="0.25">
      <c r="A141" s="3">
        <v>126</v>
      </c>
      <c r="B141" s="14" t="s">
        <v>27</v>
      </c>
      <c r="C141" s="15" t="str">
        <f>"5/2013-MUP-231"</f>
        <v>5/2013-MUP-231</v>
      </c>
      <c r="D141" s="15" t="str">
        <f t="shared" si="2"/>
        <v>EUROHERC OSIGURANJE D.D.</v>
      </c>
      <c r="E141" s="16">
        <v>42259</v>
      </c>
      <c r="F141" s="16">
        <v>42625</v>
      </c>
      <c r="G141" s="13">
        <v>12027.68</v>
      </c>
      <c r="H141" s="16">
        <v>42625</v>
      </c>
      <c r="I141" s="13">
        <v>12027.68</v>
      </c>
      <c r="J141" s="13">
        <f t="shared" si="3"/>
        <v>12027.68</v>
      </c>
      <c r="K141" s="6"/>
    </row>
    <row r="142" spans="1:11" ht="24" x14ac:dyDescent="0.25">
      <c r="A142" s="3">
        <v>127</v>
      </c>
      <c r="B142" s="14" t="s">
        <v>27</v>
      </c>
      <c r="C142" s="15" t="str">
        <f>"5/2013-MUP-229"</f>
        <v>5/2013-MUP-229</v>
      </c>
      <c r="D142" s="15" t="str">
        <f t="shared" si="2"/>
        <v>EUROHERC OSIGURANJE D.D.</v>
      </c>
      <c r="E142" s="16">
        <v>42257</v>
      </c>
      <c r="F142" s="16">
        <v>42623</v>
      </c>
      <c r="G142" s="13">
        <v>8171.1</v>
      </c>
      <c r="H142" s="16">
        <v>42623</v>
      </c>
      <c r="I142" s="13">
        <v>8171.1</v>
      </c>
      <c r="J142" s="13">
        <f t="shared" si="3"/>
        <v>8171.1</v>
      </c>
      <c r="K142" s="6"/>
    </row>
    <row r="143" spans="1:11" ht="24" x14ac:dyDescent="0.25">
      <c r="A143" s="3">
        <v>128</v>
      </c>
      <c r="B143" s="14" t="s">
        <v>58</v>
      </c>
      <c r="C143" s="15" t="str">
        <f>"4500010317"</f>
        <v>4500010317</v>
      </c>
      <c r="D143" s="15" t="str">
        <f t="shared" si="2"/>
        <v>EUROHERC OSIGURANJE D.D.</v>
      </c>
      <c r="E143" s="16">
        <v>42475</v>
      </c>
      <c r="F143" s="16">
        <v>42262</v>
      </c>
      <c r="G143" s="13">
        <v>1349.7</v>
      </c>
      <c r="H143" s="16">
        <v>42262</v>
      </c>
      <c r="I143" s="13">
        <v>1349.7</v>
      </c>
      <c r="J143" s="13">
        <f t="shared" si="3"/>
        <v>1349.7</v>
      </c>
      <c r="K143" s="6"/>
    </row>
    <row r="144" spans="1:11" ht="24" x14ac:dyDescent="0.25">
      <c r="A144" s="3">
        <v>129</v>
      </c>
      <c r="B144" s="14" t="s">
        <v>27</v>
      </c>
      <c r="C144" s="15" t="str">
        <f>"5/2013-MUP-228"</f>
        <v>5/2013-MUP-228</v>
      </c>
      <c r="D144" s="15" t="str">
        <f t="shared" ref="D144:D207" si="4">CONCATENATE("EUROHERC OSIGURANJE D.D.")</f>
        <v>EUROHERC OSIGURANJE D.D.</v>
      </c>
      <c r="E144" s="16">
        <v>42256</v>
      </c>
      <c r="F144" s="16">
        <v>42622</v>
      </c>
      <c r="G144" s="13">
        <v>1234.71</v>
      </c>
      <c r="H144" s="16">
        <v>42622</v>
      </c>
      <c r="I144" s="13">
        <v>1234.71</v>
      </c>
      <c r="J144" s="13">
        <f t="shared" si="3"/>
        <v>1234.71</v>
      </c>
      <c r="K144" s="6"/>
    </row>
    <row r="145" spans="1:11" ht="24" x14ac:dyDescent="0.25">
      <c r="A145" s="3">
        <v>130</v>
      </c>
      <c r="B145" s="14" t="s">
        <v>27</v>
      </c>
      <c r="C145" s="15" t="str">
        <f>"5/2013-MUP-227"</f>
        <v>5/2013-MUP-227</v>
      </c>
      <c r="D145" s="15" t="str">
        <f t="shared" si="4"/>
        <v>EUROHERC OSIGURANJE D.D.</v>
      </c>
      <c r="E145" s="16">
        <v>42255</v>
      </c>
      <c r="F145" s="16">
        <v>42621</v>
      </c>
      <c r="G145" s="13">
        <v>3418.04</v>
      </c>
      <c r="H145" s="16">
        <v>42621</v>
      </c>
      <c r="I145" s="13">
        <v>3418.04</v>
      </c>
      <c r="J145" s="13">
        <f t="shared" ref="J145:J208" si="5">I145</f>
        <v>3418.04</v>
      </c>
      <c r="K145" s="6"/>
    </row>
    <row r="146" spans="1:11" ht="24" x14ac:dyDescent="0.25">
      <c r="A146" s="3">
        <v>131</v>
      </c>
      <c r="B146" s="14" t="s">
        <v>27</v>
      </c>
      <c r="C146" s="15" t="str">
        <f>"5/2013-MUP-226"</f>
        <v>5/2013-MUP-226</v>
      </c>
      <c r="D146" s="15" t="str">
        <f t="shared" si="4"/>
        <v>EUROHERC OSIGURANJE D.D.</v>
      </c>
      <c r="E146" s="16">
        <v>42254</v>
      </c>
      <c r="F146" s="16">
        <v>42620</v>
      </c>
      <c r="G146" s="13">
        <v>7235.37</v>
      </c>
      <c r="H146" s="16">
        <v>42620</v>
      </c>
      <c r="I146" s="13">
        <v>7235.37</v>
      </c>
      <c r="J146" s="13">
        <f t="shared" si="5"/>
        <v>7235.37</v>
      </c>
      <c r="K146" s="6"/>
    </row>
    <row r="147" spans="1:11" ht="24" x14ac:dyDescent="0.25">
      <c r="A147" s="3">
        <v>132</v>
      </c>
      <c r="B147" s="14" t="s">
        <v>27</v>
      </c>
      <c r="C147" s="15" t="str">
        <f>"5/2013-MUP-225"</f>
        <v>5/2013-MUP-225</v>
      </c>
      <c r="D147" s="15" t="str">
        <f t="shared" si="4"/>
        <v>EUROHERC OSIGURANJE D.D.</v>
      </c>
      <c r="E147" s="16">
        <v>42252</v>
      </c>
      <c r="F147" s="16">
        <v>42618</v>
      </c>
      <c r="G147" s="13">
        <v>21629.46</v>
      </c>
      <c r="H147" s="16">
        <v>42618</v>
      </c>
      <c r="I147" s="13">
        <v>21629.46</v>
      </c>
      <c r="J147" s="13">
        <f t="shared" si="5"/>
        <v>21629.46</v>
      </c>
      <c r="K147" s="6"/>
    </row>
    <row r="148" spans="1:11" ht="24" x14ac:dyDescent="0.25">
      <c r="A148" s="3">
        <v>133</v>
      </c>
      <c r="B148" s="14" t="s">
        <v>27</v>
      </c>
      <c r="C148" s="15" t="str">
        <f>"5/2013-MUP-224"</f>
        <v>5/2013-MUP-224</v>
      </c>
      <c r="D148" s="15" t="str">
        <f t="shared" si="4"/>
        <v>EUROHERC OSIGURANJE D.D.</v>
      </c>
      <c r="E148" s="16">
        <v>42251</v>
      </c>
      <c r="F148" s="16">
        <v>42617</v>
      </c>
      <c r="G148" s="13">
        <v>7074.45</v>
      </c>
      <c r="H148" s="16">
        <v>42617</v>
      </c>
      <c r="I148" s="13">
        <v>7074.45</v>
      </c>
      <c r="J148" s="13">
        <f t="shared" si="5"/>
        <v>7074.45</v>
      </c>
      <c r="K148" s="6"/>
    </row>
    <row r="149" spans="1:11" ht="24" x14ac:dyDescent="0.25">
      <c r="A149" s="3">
        <v>134</v>
      </c>
      <c r="B149" s="14" t="s">
        <v>27</v>
      </c>
      <c r="C149" s="15" t="str">
        <f>"5/2013-MUP-223"</f>
        <v>5/2013-MUP-223</v>
      </c>
      <c r="D149" s="15" t="str">
        <f t="shared" si="4"/>
        <v>EUROHERC OSIGURANJE D.D.</v>
      </c>
      <c r="E149" s="16">
        <v>42250</v>
      </c>
      <c r="F149" s="16">
        <v>42616</v>
      </c>
      <c r="G149" s="13">
        <v>18927.52</v>
      </c>
      <c r="H149" s="16">
        <v>42616</v>
      </c>
      <c r="I149" s="13">
        <v>18927.52</v>
      </c>
      <c r="J149" s="13">
        <f t="shared" si="5"/>
        <v>18927.52</v>
      </c>
      <c r="K149" s="6"/>
    </row>
    <row r="150" spans="1:11" ht="24" x14ac:dyDescent="0.25">
      <c r="A150" s="3">
        <v>135</v>
      </c>
      <c r="B150" s="14" t="s">
        <v>27</v>
      </c>
      <c r="C150" s="15" t="str">
        <f>"5/2013-MUP-222"</f>
        <v>5/2013-MUP-222</v>
      </c>
      <c r="D150" s="15" t="str">
        <f t="shared" si="4"/>
        <v>EUROHERC OSIGURANJE D.D.</v>
      </c>
      <c r="E150" s="16">
        <v>42249</v>
      </c>
      <c r="F150" s="16">
        <v>42615</v>
      </c>
      <c r="G150" s="13">
        <v>31634.46</v>
      </c>
      <c r="H150" s="16">
        <v>42615</v>
      </c>
      <c r="I150" s="13">
        <v>31634.46</v>
      </c>
      <c r="J150" s="13">
        <f t="shared" si="5"/>
        <v>31634.46</v>
      </c>
      <c r="K150" s="6"/>
    </row>
    <row r="151" spans="1:11" ht="24" x14ac:dyDescent="0.25">
      <c r="A151" s="3">
        <v>136</v>
      </c>
      <c r="B151" s="14" t="s">
        <v>27</v>
      </c>
      <c r="C151" s="15" t="str">
        <f>"5/2013-MUP-221"</f>
        <v>5/2013-MUP-221</v>
      </c>
      <c r="D151" s="15" t="str">
        <f t="shared" si="4"/>
        <v>EUROHERC OSIGURANJE D.D.</v>
      </c>
      <c r="E151" s="16">
        <v>42248</v>
      </c>
      <c r="F151" s="16">
        <v>42614</v>
      </c>
      <c r="G151" s="13">
        <v>4009.83</v>
      </c>
      <c r="H151" s="16">
        <v>42614</v>
      </c>
      <c r="I151" s="13">
        <v>4009.83</v>
      </c>
      <c r="J151" s="13">
        <f t="shared" si="5"/>
        <v>4009.83</v>
      </c>
      <c r="K151" s="6"/>
    </row>
    <row r="152" spans="1:11" ht="24" x14ac:dyDescent="0.25">
      <c r="A152" s="3">
        <v>137</v>
      </c>
      <c r="B152" s="14" t="s">
        <v>27</v>
      </c>
      <c r="C152" s="15" t="str">
        <f>"5/2013-MUP-220"</f>
        <v>5/2013-MUP-220</v>
      </c>
      <c r="D152" s="15" t="str">
        <f t="shared" si="4"/>
        <v>EUROHERC OSIGURANJE D.D.</v>
      </c>
      <c r="E152" s="16">
        <v>42247</v>
      </c>
      <c r="F152" s="16">
        <v>42613</v>
      </c>
      <c r="G152" s="13">
        <v>8823.27</v>
      </c>
      <c r="H152" s="16">
        <v>42613</v>
      </c>
      <c r="I152" s="13">
        <v>8823.27</v>
      </c>
      <c r="J152" s="13">
        <f t="shared" si="5"/>
        <v>8823.27</v>
      </c>
      <c r="K152" s="6"/>
    </row>
    <row r="153" spans="1:11" ht="24" x14ac:dyDescent="0.25">
      <c r="A153" s="3">
        <v>138</v>
      </c>
      <c r="B153" s="14" t="s">
        <v>61</v>
      </c>
      <c r="C153" s="15" t="str">
        <f>"5/2013-DZM-27"</f>
        <v>5/2013-DZM-27</v>
      </c>
      <c r="D153" s="15" t="str">
        <f t="shared" si="4"/>
        <v>EUROHERC OSIGURANJE D.D.</v>
      </c>
      <c r="E153" s="16">
        <v>42246</v>
      </c>
      <c r="F153" s="16">
        <v>42612</v>
      </c>
      <c r="G153" s="13">
        <v>24.48</v>
      </c>
      <c r="H153" s="16">
        <v>42612</v>
      </c>
      <c r="I153" s="13">
        <v>24.48</v>
      </c>
      <c r="J153" s="13">
        <f t="shared" si="5"/>
        <v>24.48</v>
      </c>
      <c r="K153" s="6"/>
    </row>
    <row r="154" spans="1:11" ht="24" x14ac:dyDescent="0.25">
      <c r="A154" s="3">
        <v>139</v>
      </c>
      <c r="B154" s="14" t="s">
        <v>27</v>
      </c>
      <c r="C154" s="15" t="str">
        <f>"5/2013-MUP-218"</f>
        <v>5/2013-MUP-218</v>
      </c>
      <c r="D154" s="15" t="str">
        <f t="shared" si="4"/>
        <v>EUROHERC OSIGURANJE D.D.</v>
      </c>
      <c r="E154" s="16">
        <v>42245</v>
      </c>
      <c r="F154" s="16">
        <v>42611</v>
      </c>
      <c r="G154" s="13">
        <v>16972.41</v>
      </c>
      <c r="H154" s="16">
        <v>42611</v>
      </c>
      <c r="I154" s="13">
        <v>16972.41</v>
      </c>
      <c r="J154" s="13">
        <f t="shared" si="5"/>
        <v>16972.41</v>
      </c>
      <c r="K154" s="6"/>
    </row>
    <row r="155" spans="1:11" ht="24" x14ac:dyDescent="0.25">
      <c r="A155" s="3">
        <v>140</v>
      </c>
      <c r="B155" s="14" t="s">
        <v>61</v>
      </c>
      <c r="C155" s="15" t="str">
        <f>"5/2013-DZM-26"</f>
        <v>5/2013-DZM-26</v>
      </c>
      <c r="D155" s="15" t="str">
        <f t="shared" si="4"/>
        <v>EUROHERC OSIGURANJE D.D.</v>
      </c>
      <c r="E155" s="16">
        <v>42244</v>
      </c>
      <c r="F155" s="16">
        <v>42610</v>
      </c>
      <c r="G155" s="13">
        <v>2136.52</v>
      </c>
      <c r="H155" s="16">
        <v>42610</v>
      </c>
      <c r="I155" s="13">
        <v>2136.52</v>
      </c>
      <c r="J155" s="13">
        <f t="shared" si="5"/>
        <v>2136.52</v>
      </c>
      <c r="K155" s="6"/>
    </row>
    <row r="156" spans="1:11" ht="24" x14ac:dyDescent="0.25">
      <c r="A156" s="3">
        <v>141</v>
      </c>
      <c r="B156" s="14" t="s">
        <v>27</v>
      </c>
      <c r="C156" s="15" t="str">
        <f>"5/2013-MUP-217"</f>
        <v>5/2013-MUP-217</v>
      </c>
      <c r="D156" s="15" t="str">
        <f t="shared" si="4"/>
        <v>EUROHERC OSIGURANJE D.D.</v>
      </c>
      <c r="E156" s="16">
        <v>42244</v>
      </c>
      <c r="F156" s="16">
        <v>42610</v>
      </c>
      <c r="G156" s="13">
        <v>5468.85</v>
      </c>
      <c r="H156" s="16">
        <v>42610</v>
      </c>
      <c r="I156" s="13">
        <v>5468.85</v>
      </c>
      <c r="J156" s="13">
        <f t="shared" si="5"/>
        <v>5468.85</v>
      </c>
      <c r="K156" s="6"/>
    </row>
    <row r="157" spans="1:11" ht="24" x14ac:dyDescent="0.25">
      <c r="A157" s="3">
        <v>142</v>
      </c>
      <c r="B157" s="14" t="s">
        <v>27</v>
      </c>
      <c r="C157" s="15" t="str">
        <f>"5/2013-MUP-216"</f>
        <v>5/2013-MUP-216</v>
      </c>
      <c r="D157" s="15" t="str">
        <f t="shared" si="4"/>
        <v>EUROHERC OSIGURANJE D.D.</v>
      </c>
      <c r="E157" s="16">
        <v>42243</v>
      </c>
      <c r="F157" s="16">
        <v>42609</v>
      </c>
      <c r="G157" s="13">
        <v>8006.58</v>
      </c>
      <c r="H157" s="16">
        <v>42609</v>
      </c>
      <c r="I157" s="13">
        <v>8065.58</v>
      </c>
      <c r="J157" s="13">
        <f t="shared" si="5"/>
        <v>8065.58</v>
      </c>
      <c r="K157" s="6"/>
    </row>
    <row r="158" spans="1:11" ht="24" x14ac:dyDescent="0.25">
      <c r="A158" s="3">
        <v>143</v>
      </c>
      <c r="B158" s="14" t="s">
        <v>27</v>
      </c>
      <c r="C158" s="15" t="str">
        <f>"5/2013-MUP-215"</f>
        <v>5/2013-MUP-215</v>
      </c>
      <c r="D158" s="15" t="str">
        <f t="shared" si="4"/>
        <v>EUROHERC OSIGURANJE D.D.</v>
      </c>
      <c r="E158" s="16">
        <v>42242</v>
      </c>
      <c r="F158" s="16">
        <v>42608</v>
      </c>
      <c r="G158" s="13">
        <v>7252.41</v>
      </c>
      <c r="H158" s="16">
        <v>42608</v>
      </c>
      <c r="I158" s="13">
        <v>7252.41</v>
      </c>
      <c r="J158" s="13">
        <f t="shared" si="5"/>
        <v>7252.41</v>
      </c>
      <c r="K158" s="6"/>
    </row>
    <row r="159" spans="1:11" ht="24" x14ac:dyDescent="0.25">
      <c r="A159" s="3">
        <v>144</v>
      </c>
      <c r="B159" s="14" t="s">
        <v>27</v>
      </c>
      <c r="C159" s="15" t="str">
        <f>"5/2013-MUP-214"</f>
        <v>5/2013-MUP-214</v>
      </c>
      <c r="D159" s="15" t="str">
        <f t="shared" si="4"/>
        <v>EUROHERC OSIGURANJE D.D.</v>
      </c>
      <c r="E159" s="16">
        <v>42241</v>
      </c>
      <c r="F159" s="16">
        <v>42607</v>
      </c>
      <c r="G159" s="13">
        <v>14901.73</v>
      </c>
      <c r="H159" s="16">
        <v>42607</v>
      </c>
      <c r="I159" s="13">
        <v>14901.73</v>
      </c>
      <c r="J159" s="13">
        <f t="shared" si="5"/>
        <v>14901.73</v>
      </c>
      <c r="K159" s="6"/>
    </row>
    <row r="160" spans="1:11" ht="24" x14ac:dyDescent="0.25">
      <c r="A160" s="3">
        <v>145</v>
      </c>
      <c r="B160" s="14" t="s">
        <v>27</v>
      </c>
      <c r="C160" s="15" t="str">
        <f>"5/2013-MUP-213"</f>
        <v>5/2013-MUP-213</v>
      </c>
      <c r="D160" s="15" t="str">
        <f t="shared" si="4"/>
        <v>EUROHERC OSIGURANJE D.D.</v>
      </c>
      <c r="E160" s="16">
        <v>42240</v>
      </c>
      <c r="F160" s="16">
        <v>42606</v>
      </c>
      <c r="G160" s="13">
        <v>1078.08</v>
      </c>
      <c r="H160" s="16">
        <v>42606</v>
      </c>
      <c r="I160" s="13">
        <v>1078.08</v>
      </c>
      <c r="J160" s="13">
        <f t="shared" si="5"/>
        <v>1078.08</v>
      </c>
      <c r="K160" s="6"/>
    </row>
    <row r="161" spans="1:11" ht="24" x14ac:dyDescent="0.25">
      <c r="A161" s="3">
        <v>146</v>
      </c>
      <c r="B161" s="14" t="s">
        <v>27</v>
      </c>
      <c r="C161" s="15" t="str">
        <f>"5/2013-MUP-212"</f>
        <v>5/2013-MUP-212</v>
      </c>
      <c r="D161" s="15" t="str">
        <f t="shared" si="4"/>
        <v>EUROHERC OSIGURANJE D.D.</v>
      </c>
      <c r="E161" s="16">
        <v>42238</v>
      </c>
      <c r="F161" s="16">
        <v>42604</v>
      </c>
      <c r="G161" s="13">
        <v>32219</v>
      </c>
      <c r="H161" s="16">
        <v>42604</v>
      </c>
      <c r="I161" s="13">
        <v>32219</v>
      </c>
      <c r="J161" s="13">
        <f t="shared" si="5"/>
        <v>32219</v>
      </c>
      <c r="K161" s="6"/>
    </row>
    <row r="162" spans="1:11" ht="24" x14ac:dyDescent="0.25">
      <c r="A162" s="3">
        <v>147</v>
      </c>
      <c r="B162" s="14" t="s">
        <v>27</v>
      </c>
      <c r="C162" s="15" t="str">
        <f>"5/2013-MUP-211"</f>
        <v>5/2013-MUP-211</v>
      </c>
      <c r="D162" s="15" t="str">
        <f t="shared" si="4"/>
        <v>EUROHERC OSIGURANJE D.D.</v>
      </c>
      <c r="E162" s="16">
        <v>42237</v>
      </c>
      <c r="F162" s="16">
        <v>42603</v>
      </c>
      <c r="G162" s="13">
        <v>2702.7</v>
      </c>
      <c r="H162" s="16">
        <v>42603</v>
      </c>
      <c r="I162" s="13">
        <v>2702.7</v>
      </c>
      <c r="J162" s="13">
        <f t="shared" si="5"/>
        <v>2702.7</v>
      </c>
      <c r="K162" s="6"/>
    </row>
    <row r="163" spans="1:11" ht="24" x14ac:dyDescent="0.25">
      <c r="A163" s="3">
        <v>148</v>
      </c>
      <c r="B163" s="14" t="s">
        <v>27</v>
      </c>
      <c r="C163" s="15" t="str">
        <f>"5/2013-MUP-210"</f>
        <v>5/2013-MUP-210</v>
      </c>
      <c r="D163" s="15" t="str">
        <f t="shared" si="4"/>
        <v>EUROHERC OSIGURANJE D.D.</v>
      </c>
      <c r="E163" s="16">
        <v>42236</v>
      </c>
      <c r="F163" s="16">
        <v>42602</v>
      </c>
      <c r="G163" s="13">
        <v>49219.83</v>
      </c>
      <c r="H163" s="16">
        <v>42602</v>
      </c>
      <c r="I163" s="13">
        <v>49219.83</v>
      </c>
      <c r="J163" s="13">
        <f t="shared" si="5"/>
        <v>49219.83</v>
      </c>
      <c r="K163" s="6"/>
    </row>
    <row r="164" spans="1:11" ht="24" x14ac:dyDescent="0.25">
      <c r="A164" s="3">
        <v>149</v>
      </c>
      <c r="B164" s="14" t="s">
        <v>27</v>
      </c>
      <c r="C164" s="15" t="str">
        <f>"5/2013-MUP-209"</f>
        <v>5/2013-MUP-209</v>
      </c>
      <c r="D164" s="15" t="str">
        <f t="shared" si="4"/>
        <v>EUROHERC OSIGURANJE D.D.</v>
      </c>
      <c r="E164" s="16">
        <v>42235</v>
      </c>
      <c r="F164" s="16">
        <v>42601</v>
      </c>
      <c r="G164" s="13">
        <v>5973.14</v>
      </c>
      <c r="H164" s="16">
        <v>42601</v>
      </c>
      <c r="I164" s="13">
        <v>5973.14</v>
      </c>
      <c r="J164" s="13">
        <f t="shared" si="5"/>
        <v>5973.14</v>
      </c>
      <c r="K164" s="6"/>
    </row>
    <row r="165" spans="1:11" ht="24" x14ac:dyDescent="0.25">
      <c r="A165" s="3">
        <v>150</v>
      </c>
      <c r="B165" s="14" t="s">
        <v>27</v>
      </c>
      <c r="C165" s="15" t="str">
        <f>"5/2013-MUP-208"</f>
        <v>5/2013-MUP-208</v>
      </c>
      <c r="D165" s="15" t="str">
        <f t="shared" si="4"/>
        <v>EUROHERC OSIGURANJE D.D.</v>
      </c>
      <c r="E165" s="16">
        <v>42234</v>
      </c>
      <c r="F165" s="16">
        <v>42600</v>
      </c>
      <c r="G165" s="13">
        <v>7611.04</v>
      </c>
      <c r="H165" s="16">
        <v>42600</v>
      </c>
      <c r="I165" s="13">
        <v>7611.04</v>
      </c>
      <c r="J165" s="13">
        <f t="shared" si="5"/>
        <v>7611.04</v>
      </c>
      <c r="K165" s="6"/>
    </row>
    <row r="166" spans="1:11" ht="24" x14ac:dyDescent="0.25">
      <c r="A166" s="3">
        <v>151</v>
      </c>
      <c r="B166" s="14" t="s">
        <v>27</v>
      </c>
      <c r="C166" s="15" t="str">
        <f>"5/2013-MUP-207"</f>
        <v>5/2013-MUP-207</v>
      </c>
      <c r="D166" s="15" t="str">
        <f t="shared" si="4"/>
        <v>EUROHERC OSIGURANJE D.D.</v>
      </c>
      <c r="E166" s="16">
        <v>42233</v>
      </c>
      <c r="F166" s="16">
        <v>42599</v>
      </c>
      <c r="G166" s="13">
        <v>3213.15</v>
      </c>
      <c r="H166" s="16">
        <v>42599</v>
      </c>
      <c r="I166" s="13">
        <v>3213.15</v>
      </c>
      <c r="J166" s="13">
        <f t="shared" si="5"/>
        <v>3213.15</v>
      </c>
      <c r="K166" s="6"/>
    </row>
    <row r="167" spans="1:11" ht="24" x14ac:dyDescent="0.25">
      <c r="A167" s="3">
        <v>152</v>
      </c>
      <c r="B167" s="14" t="s">
        <v>27</v>
      </c>
      <c r="C167" s="15" t="str">
        <f>"5/2013-MUP-206"</f>
        <v>5/2013-MUP-206</v>
      </c>
      <c r="D167" s="15" t="str">
        <f t="shared" si="4"/>
        <v>EUROHERC OSIGURANJE D.D.</v>
      </c>
      <c r="E167" s="16">
        <v>42232</v>
      </c>
      <c r="F167" s="16">
        <v>42598</v>
      </c>
      <c r="G167" s="13">
        <v>1330.22</v>
      </c>
      <c r="H167" s="16">
        <v>42598</v>
      </c>
      <c r="I167" s="13">
        <v>1330.22</v>
      </c>
      <c r="J167" s="13">
        <f t="shared" si="5"/>
        <v>1330.22</v>
      </c>
      <c r="K167" s="6"/>
    </row>
    <row r="168" spans="1:11" ht="24" x14ac:dyDescent="0.25">
      <c r="A168" s="3">
        <v>153</v>
      </c>
      <c r="B168" s="14" t="s">
        <v>27</v>
      </c>
      <c r="C168" s="15" t="str">
        <f>"5/2013-MUP-205"</f>
        <v>5/2013-MUP-205</v>
      </c>
      <c r="D168" s="15" t="str">
        <f t="shared" si="4"/>
        <v>EUROHERC OSIGURANJE D.D.</v>
      </c>
      <c r="E168" s="16">
        <v>42230</v>
      </c>
      <c r="F168" s="16">
        <v>42596</v>
      </c>
      <c r="G168" s="13">
        <v>4881.72</v>
      </c>
      <c r="H168" s="16">
        <v>42596</v>
      </c>
      <c r="I168" s="13">
        <v>4881.72</v>
      </c>
      <c r="J168" s="13">
        <f t="shared" si="5"/>
        <v>4881.72</v>
      </c>
      <c r="K168" s="6"/>
    </row>
    <row r="169" spans="1:11" ht="24" x14ac:dyDescent="0.25">
      <c r="A169" s="3">
        <v>154</v>
      </c>
      <c r="B169" s="14" t="s">
        <v>27</v>
      </c>
      <c r="C169" s="15" t="str">
        <f>"5/2013-MUP-204"</f>
        <v>5/2013-MUP-204</v>
      </c>
      <c r="D169" s="15" t="str">
        <f t="shared" si="4"/>
        <v>EUROHERC OSIGURANJE D.D.</v>
      </c>
      <c r="E169" s="16">
        <v>42229</v>
      </c>
      <c r="F169" s="16">
        <v>42595</v>
      </c>
      <c r="G169" s="13">
        <v>2573.2600000000002</v>
      </c>
      <c r="H169" s="16">
        <v>42595</v>
      </c>
      <c r="I169" s="13">
        <v>2573.2600000000002</v>
      </c>
      <c r="J169" s="13">
        <f t="shared" si="5"/>
        <v>2573.2600000000002</v>
      </c>
      <c r="K169" s="6"/>
    </row>
    <row r="170" spans="1:11" ht="24" x14ac:dyDescent="0.25">
      <c r="A170" s="3">
        <v>155</v>
      </c>
      <c r="B170" s="14" t="s">
        <v>27</v>
      </c>
      <c r="C170" s="15" t="str">
        <f>"5/2013-MUP-203"</f>
        <v>5/2013-MUP-203</v>
      </c>
      <c r="D170" s="15" t="str">
        <f t="shared" si="4"/>
        <v>EUROHERC OSIGURANJE D.D.</v>
      </c>
      <c r="E170" s="16">
        <v>42228</v>
      </c>
      <c r="F170" s="16">
        <v>42594</v>
      </c>
      <c r="G170" s="13">
        <v>8560.93</v>
      </c>
      <c r="H170" s="16">
        <v>42594</v>
      </c>
      <c r="I170" s="13">
        <v>8560.93</v>
      </c>
      <c r="J170" s="13">
        <f t="shared" si="5"/>
        <v>8560.93</v>
      </c>
      <c r="K170" s="6"/>
    </row>
    <row r="171" spans="1:11" ht="24" x14ac:dyDescent="0.25">
      <c r="A171" s="3">
        <v>156</v>
      </c>
      <c r="B171" s="14" t="s">
        <v>27</v>
      </c>
      <c r="C171" s="15" t="str">
        <f>"5/2013-MUP-202"</f>
        <v>5/2013-MUP-202</v>
      </c>
      <c r="D171" s="15" t="str">
        <f t="shared" si="4"/>
        <v>EUROHERC OSIGURANJE D.D.</v>
      </c>
      <c r="E171" s="16">
        <v>42227</v>
      </c>
      <c r="F171" s="16">
        <v>42593</v>
      </c>
      <c r="G171" s="13">
        <v>4499.42</v>
      </c>
      <c r="H171" s="16">
        <v>42593</v>
      </c>
      <c r="I171" s="13">
        <v>4499.42</v>
      </c>
      <c r="J171" s="13">
        <f t="shared" si="5"/>
        <v>4499.42</v>
      </c>
      <c r="K171" s="6"/>
    </row>
    <row r="172" spans="1:11" ht="24" x14ac:dyDescent="0.25">
      <c r="A172" s="3">
        <v>157</v>
      </c>
      <c r="B172" s="14" t="s">
        <v>27</v>
      </c>
      <c r="C172" s="15" t="str">
        <f>"5/2013-MUP-201"</f>
        <v>5/2013-MUP-201</v>
      </c>
      <c r="D172" s="15" t="str">
        <f t="shared" si="4"/>
        <v>EUROHERC OSIGURANJE D.D.</v>
      </c>
      <c r="E172" s="16">
        <v>42226</v>
      </c>
      <c r="F172" s="16">
        <v>42592</v>
      </c>
      <c r="G172" s="13">
        <v>4090.54</v>
      </c>
      <c r="H172" s="16">
        <v>42592</v>
      </c>
      <c r="I172" s="13">
        <v>4090.54</v>
      </c>
      <c r="J172" s="13">
        <f t="shared" si="5"/>
        <v>4090.54</v>
      </c>
      <c r="K172" s="6"/>
    </row>
    <row r="173" spans="1:11" ht="24" x14ac:dyDescent="0.25">
      <c r="A173" s="3">
        <v>158</v>
      </c>
      <c r="B173" s="14" t="s">
        <v>27</v>
      </c>
      <c r="C173" s="15" t="str">
        <f>"5/2013-MUP-200"</f>
        <v>5/2013-MUP-200</v>
      </c>
      <c r="D173" s="15" t="str">
        <f t="shared" si="4"/>
        <v>EUROHERC OSIGURANJE D.D.</v>
      </c>
      <c r="E173" s="16">
        <v>42225</v>
      </c>
      <c r="F173" s="16">
        <v>42591</v>
      </c>
      <c r="G173" s="13">
        <v>3082.9</v>
      </c>
      <c r="H173" s="16">
        <v>42591</v>
      </c>
      <c r="I173" s="13">
        <v>3082.9</v>
      </c>
      <c r="J173" s="13">
        <f t="shared" si="5"/>
        <v>3082.9</v>
      </c>
      <c r="K173" s="6"/>
    </row>
    <row r="174" spans="1:11" ht="24" x14ac:dyDescent="0.25">
      <c r="A174" s="3">
        <v>159</v>
      </c>
      <c r="B174" s="14" t="s">
        <v>27</v>
      </c>
      <c r="C174" s="15" t="str">
        <f>"5/2013-MUP-199"</f>
        <v>5/2013-MUP-199</v>
      </c>
      <c r="D174" s="15" t="str">
        <f t="shared" si="4"/>
        <v>EUROHERC OSIGURANJE D.D.</v>
      </c>
      <c r="E174" s="16">
        <v>42223</v>
      </c>
      <c r="F174" s="16">
        <v>42589</v>
      </c>
      <c r="G174" s="13">
        <v>17211.53</v>
      </c>
      <c r="H174" s="16">
        <v>42589</v>
      </c>
      <c r="I174" s="13">
        <v>17211.53</v>
      </c>
      <c r="J174" s="13">
        <f t="shared" si="5"/>
        <v>17211.53</v>
      </c>
      <c r="K174" s="6"/>
    </row>
    <row r="175" spans="1:11" ht="24" x14ac:dyDescent="0.25">
      <c r="A175" s="3">
        <v>160</v>
      </c>
      <c r="B175" s="14" t="s">
        <v>27</v>
      </c>
      <c r="C175" s="15" t="str">
        <f>"5/2013-MUP-198"</f>
        <v>5/2013-MUP-198</v>
      </c>
      <c r="D175" s="15" t="str">
        <f t="shared" si="4"/>
        <v>EUROHERC OSIGURANJE D.D.</v>
      </c>
      <c r="E175" s="16">
        <v>42222</v>
      </c>
      <c r="F175" s="16">
        <v>42588</v>
      </c>
      <c r="G175" s="13">
        <v>8401.32</v>
      </c>
      <c r="H175" s="16">
        <v>42588</v>
      </c>
      <c r="I175" s="13">
        <v>8401.32</v>
      </c>
      <c r="J175" s="13">
        <f t="shared" si="5"/>
        <v>8401.32</v>
      </c>
      <c r="K175" s="6"/>
    </row>
    <row r="176" spans="1:11" ht="24" x14ac:dyDescent="0.25">
      <c r="A176" s="3">
        <v>161</v>
      </c>
      <c r="B176" s="14" t="s">
        <v>27</v>
      </c>
      <c r="C176" s="15" t="str">
        <f>"5/2013-MUP-197"</f>
        <v>5/2013-MUP-197</v>
      </c>
      <c r="D176" s="15" t="str">
        <f t="shared" si="4"/>
        <v>EUROHERC OSIGURANJE D.D.</v>
      </c>
      <c r="E176" s="16">
        <v>42220</v>
      </c>
      <c r="F176" s="16">
        <v>42586</v>
      </c>
      <c r="G176" s="13">
        <v>1062.3</v>
      </c>
      <c r="H176" s="16">
        <v>42586</v>
      </c>
      <c r="I176" s="13">
        <v>1062.3</v>
      </c>
      <c r="J176" s="13">
        <f t="shared" si="5"/>
        <v>1062.3</v>
      </c>
      <c r="K176" s="6"/>
    </row>
    <row r="177" spans="1:11" ht="24" x14ac:dyDescent="0.25">
      <c r="A177" s="3">
        <v>162</v>
      </c>
      <c r="B177" s="14" t="s">
        <v>27</v>
      </c>
      <c r="C177" s="15" t="str">
        <f>"5/2013-MUP-196"</f>
        <v>5/2013-MUP-196</v>
      </c>
      <c r="D177" s="15" t="str">
        <f t="shared" si="4"/>
        <v>EUROHERC OSIGURANJE D.D.</v>
      </c>
      <c r="E177" s="16">
        <v>42219</v>
      </c>
      <c r="F177" s="16">
        <v>42585</v>
      </c>
      <c r="G177" s="13">
        <v>1332.9</v>
      </c>
      <c r="H177" s="16">
        <v>42585</v>
      </c>
      <c r="I177" s="13">
        <v>1332.9</v>
      </c>
      <c r="J177" s="13">
        <f t="shared" si="5"/>
        <v>1332.9</v>
      </c>
      <c r="K177" s="6"/>
    </row>
    <row r="178" spans="1:11" ht="24" x14ac:dyDescent="0.25">
      <c r="A178" s="3">
        <v>163</v>
      </c>
      <c r="B178" s="14" t="s">
        <v>27</v>
      </c>
      <c r="C178" s="15" t="str">
        <f>"5/2013-MUP-195"</f>
        <v>5/2013-MUP-195</v>
      </c>
      <c r="D178" s="15" t="str">
        <f t="shared" si="4"/>
        <v>EUROHERC OSIGURANJE D.D.</v>
      </c>
      <c r="E178" s="16">
        <v>42218</v>
      </c>
      <c r="F178" s="16">
        <v>42584</v>
      </c>
      <c r="G178" s="13">
        <v>671.07</v>
      </c>
      <c r="H178" s="16">
        <v>42584</v>
      </c>
      <c r="I178" s="13">
        <v>671.07</v>
      </c>
      <c r="J178" s="13">
        <f t="shared" si="5"/>
        <v>671.07</v>
      </c>
      <c r="K178" s="6"/>
    </row>
    <row r="179" spans="1:11" ht="24" x14ac:dyDescent="0.25">
      <c r="A179" s="3">
        <v>164</v>
      </c>
      <c r="B179" s="14" t="s">
        <v>27</v>
      </c>
      <c r="C179" s="15" t="str">
        <f>"5/2013-MUP-194"</f>
        <v>5/2013-MUP-194</v>
      </c>
      <c r="D179" s="15" t="str">
        <f t="shared" si="4"/>
        <v>EUROHERC OSIGURANJE D.D.</v>
      </c>
      <c r="E179" s="16">
        <v>42217</v>
      </c>
      <c r="F179" s="16">
        <v>42583</v>
      </c>
      <c r="G179" s="13">
        <v>13609.17</v>
      </c>
      <c r="H179" s="16">
        <v>42583</v>
      </c>
      <c r="I179" s="13">
        <v>13609.17</v>
      </c>
      <c r="J179" s="13">
        <f t="shared" si="5"/>
        <v>13609.17</v>
      </c>
      <c r="K179" s="6"/>
    </row>
    <row r="180" spans="1:11" ht="24" x14ac:dyDescent="0.25">
      <c r="A180" s="3">
        <v>165</v>
      </c>
      <c r="B180" s="14" t="s">
        <v>27</v>
      </c>
      <c r="C180" s="15" t="str">
        <f>"5/2013-MUP-193"</f>
        <v>5/2013-MUP-193</v>
      </c>
      <c r="D180" s="15" t="str">
        <f t="shared" si="4"/>
        <v>EUROHERC OSIGURANJE D.D.</v>
      </c>
      <c r="E180" s="16">
        <v>42216</v>
      </c>
      <c r="F180" s="16">
        <v>42582</v>
      </c>
      <c r="G180" s="13">
        <v>2298.5700000000002</v>
      </c>
      <c r="H180" s="16">
        <v>42582</v>
      </c>
      <c r="I180" s="13">
        <v>2298.5700000000002</v>
      </c>
      <c r="J180" s="13">
        <f t="shared" si="5"/>
        <v>2298.5700000000002</v>
      </c>
      <c r="K180" s="6"/>
    </row>
    <row r="181" spans="1:11" ht="24" x14ac:dyDescent="0.25">
      <c r="A181" s="3">
        <v>166</v>
      </c>
      <c r="B181" s="14" t="s">
        <v>27</v>
      </c>
      <c r="C181" s="15" t="str">
        <f>"5/2013-MUP-192"</f>
        <v>5/2013-MUP-192</v>
      </c>
      <c r="D181" s="15" t="str">
        <f t="shared" si="4"/>
        <v>EUROHERC OSIGURANJE D.D.</v>
      </c>
      <c r="E181" s="16">
        <v>42215</v>
      </c>
      <c r="F181" s="16">
        <v>42581</v>
      </c>
      <c r="G181" s="13">
        <v>35652.57</v>
      </c>
      <c r="H181" s="16">
        <v>42581</v>
      </c>
      <c r="I181" s="13">
        <v>35652.57</v>
      </c>
      <c r="J181" s="13">
        <f t="shared" si="5"/>
        <v>35652.57</v>
      </c>
      <c r="K181" s="6"/>
    </row>
    <row r="182" spans="1:11" ht="24" x14ac:dyDescent="0.25">
      <c r="A182" s="3">
        <v>167</v>
      </c>
      <c r="B182" s="14" t="s">
        <v>27</v>
      </c>
      <c r="C182" s="15" t="str">
        <f>"5/2013-MUP-191"</f>
        <v>5/2013-MUP-191</v>
      </c>
      <c r="D182" s="15" t="str">
        <f t="shared" si="4"/>
        <v>EUROHERC OSIGURANJE D.D.</v>
      </c>
      <c r="E182" s="16">
        <v>42214</v>
      </c>
      <c r="F182" s="16">
        <v>42580</v>
      </c>
      <c r="G182" s="13">
        <v>6182.95</v>
      </c>
      <c r="H182" s="16">
        <v>42580</v>
      </c>
      <c r="I182" s="13">
        <v>6182.95</v>
      </c>
      <c r="J182" s="13">
        <f t="shared" si="5"/>
        <v>6182.95</v>
      </c>
      <c r="K182" s="6"/>
    </row>
    <row r="183" spans="1:11" ht="24" x14ac:dyDescent="0.25">
      <c r="A183" s="3">
        <v>168</v>
      </c>
      <c r="B183" s="14" t="s">
        <v>27</v>
      </c>
      <c r="C183" s="15" t="str">
        <f>"5/2013-MUP-188"</f>
        <v>5/2013-MUP-188</v>
      </c>
      <c r="D183" s="15" t="str">
        <f t="shared" si="4"/>
        <v>EUROHERC OSIGURANJE D.D.</v>
      </c>
      <c r="E183" s="16">
        <v>42211</v>
      </c>
      <c r="F183" s="16">
        <v>42211</v>
      </c>
      <c r="G183" s="13">
        <v>15779.68</v>
      </c>
      <c r="H183" s="16">
        <v>42211</v>
      </c>
      <c r="I183" s="13">
        <v>15779.68</v>
      </c>
      <c r="J183" s="13">
        <f t="shared" si="5"/>
        <v>15779.68</v>
      </c>
      <c r="K183" s="6"/>
    </row>
    <row r="184" spans="1:11" ht="24" x14ac:dyDescent="0.25">
      <c r="A184" s="3">
        <v>169</v>
      </c>
      <c r="B184" s="14" t="s">
        <v>61</v>
      </c>
      <c r="C184" s="15" t="str">
        <f>"5/2013-DZM-24"</f>
        <v>5/2013-DZM-24</v>
      </c>
      <c r="D184" s="15" t="str">
        <f t="shared" si="4"/>
        <v>EUROHERC OSIGURANJE D.D.</v>
      </c>
      <c r="E184" s="16">
        <v>42208</v>
      </c>
      <c r="F184" s="16">
        <v>42574</v>
      </c>
      <c r="G184" s="13">
        <v>1779.55</v>
      </c>
      <c r="H184" s="16">
        <v>42574</v>
      </c>
      <c r="I184" s="13">
        <v>1779.55</v>
      </c>
      <c r="J184" s="13">
        <f t="shared" si="5"/>
        <v>1779.55</v>
      </c>
      <c r="K184" s="6"/>
    </row>
    <row r="185" spans="1:11" ht="24" x14ac:dyDescent="0.25">
      <c r="A185" s="3">
        <v>170</v>
      </c>
      <c r="B185" s="14" t="s">
        <v>27</v>
      </c>
      <c r="C185" s="15" t="str">
        <f>"5/2013-MUP-184"</f>
        <v>5/2013-MUP-184</v>
      </c>
      <c r="D185" s="15" t="str">
        <f t="shared" si="4"/>
        <v>EUROHERC OSIGURANJE D.D.</v>
      </c>
      <c r="E185" s="16">
        <v>42207</v>
      </c>
      <c r="F185" s="16">
        <v>42573</v>
      </c>
      <c r="G185" s="13">
        <v>14084.71</v>
      </c>
      <c r="H185" s="16">
        <v>42573</v>
      </c>
      <c r="I185" s="13">
        <v>14084.71</v>
      </c>
      <c r="J185" s="13">
        <f t="shared" si="5"/>
        <v>14084.71</v>
      </c>
      <c r="K185" s="6"/>
    </row>
    <row r="186" spans="1:11" ht="24" x14ac:dyDescent="0.25">
      <c r="A186" s="3">
        <v>171</v>
      </c>
      <c r="B186" s="14" t="s">
        <v>27</v>
      </c>
      <c r="C186" s="15" t="str">
        <f>"5/2013-MUP-182"</f>
        <v>5/2013-MUP-182</v>
      </c>
      <c r="D186" s="15" t="str">
        <f t="shared" si="4"/>
        <v>EUROHERC OSIGURANJE D.D.</v>
      </c>
      <c r="E186" s="16">
        <v>42205</v>
      </c>
      <c r="F186" s="16">
        <v>42571</v>
      </c>
      <c r="G186" s="13">
        <v>6376.04</v>
      </c>
      <c r="H186" s="16">
        <v>42571</v>
      </c>
      <c r="I186" s="13">
        <v>6376.04</v>
      </c>
      <c r="J186" s="13">
        <f t="shared" si="5"/>
        <v>6376.04</v>
      </c>
      <c r="K186" s="6"/>
    </row>
    <row r="187" spans="1:11" ht="24" x14ac:dyDescent="0.25">
      <c r="A187" s="3">
        <v>172</v>
      </c>
      <c r="B187" s="14" t="s">
        <v>27</v>
      </c>
      <c r="C187" s="15" t="str">
        <f>"5/2013-MUP-181"</f>
        <v>5/2013-MUP-181</v>
      </c>
      <c r="D187" s="15" t="str">
        <f t="shared" si="4"/>
        <v>EUROHERC OSIGURANJE D.D.</v>
      </c>
      <c r="E187" s="16">
        <v>42204</v>
      </c>
      <c r="F187" s="16">
        <v>42570</v>
      </c>
      <c r="G187" s="13">
        <v>4385.7299999999996</v>
      </c>
      <c r="H187" s="16">
        <v>42570</v>
      </c>
      <c r="I187" s="13">
        <v>4385.7299999999996</v>
      </c>
      <c r="J187" s="13">
        <f t="shared" si="5"/>
        <v>4385.7299999999996</v>
      </c>
      <c r="K187" s="6"/>
    </row>
    <row r="188" spans="1:11" ht="24" x14ac:dyDescent="0.25">
      <c r="A188" s="3">
        <v>173</v>
      </c>
      <c r="B188" s="14" t="s">
        <v>27</v>
      </c>
      <c r="C188" s="15" t="str">
        <f>"5/2013-MUP-180"</f>
        <v>5/2013-MUP-180</v>
      </c>
      <c r="D188" s="15" t="str">
        <f t="shared" si="4"/>
        <v>EUROHERC OSIGURANJE D.D.</v>
      </c>
      <c r="E188" s="16">
        <v>42203</v>
      </c>
      <c r="F188" s="16">
        <v>42569</v>
      </c>
      <c r="G188" s="13">
        <v>4485.47</v>
      </c>
      <c r="H188" s="16">
        <v>42569</v>
      </c>
      <c r="I188" s="13">
        <v>4485.47</v>
      </c>
      <c r="J188" s="13">
        <f t="shared" si="5"/>
        <v>4485.47</v>
      </c>
      <c r="K188" s="6"/>
    </row>
    <row r="189" spans="1:11" ht="24" x14ac:dyDescent="0.25">
      <c r="A189" s="3">
        <v>174</v>
      </c>
      <c r="B189" s="14" t="s">
        <v>27</v>
      </c>
      <c r="C189" s="15" t="str">
        <f>"5/2013-MUP-179"</f>
        <v>5/2013-MUP-179</v>
      </c>
      <c r="D189" s="15" t="str">
        <f t="shared" si="4"/>
        <v>EUROHERC OSIGURANJE D.D.</v>
      </c>
      <c r="E189" s="16">
        <v>42202</v>
      </c>
      <c r="F189" s="16">
        <v>42568</v>
      </c>
      <c r="G189" s="13">
        <v>1169.6600000000001</v>
      </c>
      <c r="H189" s="16">
        <v>42568</v>
      </c>
      <c r="I189" s="13">
        <v>1169.6600000000001</v>
      </c>
      <c r="J189" s="13">
        <f t="shared" si="5"/>
        <v>1169.6600000000001</v>
      </c>
      <c r="K189" s="6"/>
    </row>
    <row r="190" spans="1:11" ht="24" x14ac:dyDescent="0.25">
      <c r="A190" s="3">
        <v>175</v>
      </c>
      <c r="B190" s="14" t="s">
        <v>27</v>
      </c>
      <c r="C190" s="15" t="str">
        <f>"5/2013-MUP-178"</f>
        <v>5/2013-MUP-178</v>
      </c>
      <c r="D190" s="15" t="str">
        <f t="shared" si="4"/>
        <v>EUROHERC OSIGURANJE D.D.</v>
      </c>
      <c r="E190" s="16">
        <v>42201</v>
      </c>
      <c r="F190" s="16">
        <v>42567</v>
      </c>
      <c r="G190" s="13">
        <v>2909.05</v>
      </c>
      <c r="H190" s="16">
        <v>42567</v>
      </c>
      <c r="I190" s="13">
        <v>2909.05</v>
      </c>
      <c r="J190" s="13">
        <f t="shared" si="5"/>
        <v>2909.05</v>
      </c>
      <c r="K190" s="6"/>
    </row>
    <row r="191" spans="1:11" ht="24" x14ac:dyDescent="0.25">
      <c r="A191" s="3">
        <v>176</v>
      </c>
      <c r="B191" s="14" t="s">
        <v>27</v>
      </c>
      <c r="C191" s="15" t="str">
        <f>"5/2013-MUP-177"</f>
        <v>5/2013-MUP-177</v>
      </c>
      <c r="D191" s="15" t="str">
        <f t="shared" si="4"/>
        <v>EUROHERC OSIGURANJE D.D.</v>
      </c>
      <c r="E191" s="16">
        <v>42200</v>
      </c>
      <c r="F191" s="16">
        <v>42566</v>
      </c>
      <c r="G191" s="13">
        <v>4247.8500000000004</v>
      </c>
      <c r="H191" s="16">
        <v>42566</v>
      </c>
      <c r="I191" s="13">
        <v>4247.8500000000004</v>
      </c>
      <c r="J191" s="13">
        <f t="shared" si="5"/>
        <v>4247.8500000000004</v>
      </c>
      <c r="K191" s="6"/>
    </row>
    <row r="192" spans="1:11" ht="24" x14ac:dyDescent="0.25">
      <c r="A192" s="3">
        <v>177</v>
      </c>
      <c r="B192" s="14" t="s">
        <v>27</v>
      </c>
      <c r="C192" s="15" t="str">
        <f>"5/2013-MUP-176"</f>
        <v>5/2013-MUP-176</v>
      </c>
      <c r="D192" s="15" t="str">
        <f t="shared" si="4"/>
        <v>EUROHERC OSIGURANJE D.D.</v>
      </c>
      <c r="E192" s="16">
        <v>42199</v>
      </c>
      <c r="F192" s="16">
        <v>42565</v>
      </c>
      <c r="G192" s="13">
        <v>11918.31</v>
      </c>
      <c r="H192" s="16">
        <v>42565</v>
      </c>
      <c r="I192" s="13">
        <v>11918.31</v>
      </c>
      <c r="J192" s="13">
        <f t="shared" si="5"/>
        <v>11918.31</v>
      </c>
      <c r="K192" s="6"/>
    </row>
    <row r="193" spans="1:11" ht="24" x14ac:dyDescent="0.25">
      <c r="A193" s="3">
        <v>178</v>
      </c>
      <c r="B193" s="14" t="s">
        <v>27</v>
      </c>
      <c r="C193" s="15" t="str">
        <f>"5/2013-MUP-175"</f>
        <v>5/2013-MUP-175</v>
      </c>
      <c r="D193" s="15" t="str">
        <f t="shared" si="4"/>
        <v>EUROHERC OSIGURANJE D.D.</v>
      </c>
      <c r="E193" s="16">
        <v>42198</v>
      </c>
      <c r="F193" s="16">
        <v>42564</v>
      </c>
      <c r="G193" s="13">
        <v>1580.78</v>
      </c>
      <c r="H193" s="16">
        <v>42564</v>
      </c>
      <c r="I193" s="13">
        <v>1580.78</v>
      </c>
      <c r="J193" s="13">
        <f t="shared" si="5"/>
        <v>1580.78</v>
      </c>
      <c r="K193" s="6"/>
    </row>
    <row r="194" spans="1:11" ht="24" x14ac:dyDescent="0.25">
      <c r="A194" s="3">
        <v>179</v>
      </c>
      <c r="B194" s="14" t="s">
        <v>27</v>
      </c>
      <c r="C194" s="15" t="str">
        <f>"5/2013-MUP-174"</f>
        <v>5/2013-MUP-174</v>
      </c>
      <c r="D194" s="15" t="str">
        <f t="shared" si="4"/>
        <v>EUROHERC OSIGURANJE D.D.</v>
      </c>
      <c r="E194" s="16">
        <v>42197</v>
      </c>
      <c r="F194" s="16">
        <v>42563</v>
      </c>
      <c r="G194" s="13">
        <v>19488.240000000002</v>
      </c>
      <c r="H194" s="16">
        <v>42563</v>
      </c>
      <c r="I194" s="13">
        <v>19488.240000000002</v>
      </c>
      <c r="J194" s="13">
        <f t="shared" si="5"/>
        <v>19488.240000000002</v>
      </c>
      <c r="K194" s="6"/>
    </row>
    <row r="195" spans="1:11" ht="24" x14ac:dyDescent="0.25">
      <c r="A195" s="3">
        <v>180</v>
      </c>
      <c r="B195" s="14" t="s">
        <v>27</v>
      </c>
      <c r="C195" s="15" t="str">
        <f>"5/2013-MUP-173"</f>
        <v>5/2013-MUP-173</v>
      </c>
      <c r="D195" s="15" t="str">
        <f t="shared" si="4"/>
        <v>EUROHERC OSIGURANJE D.D.</v>
      </c>
      <c r="E195" s="16">
        <v>42196</v>
      </c>
      <c r="F195" s="16">
        <v>42562</v>
      </c>
      <c r="G195" s="13">
        <v>2423.27</v>
      </c>
      <c r="H195" s="16">
        <v>42562</v>
      </c>
      <c r="I195" s="13">
        <v>2423.27</v>
      </c>
      <c r="J195" s="13">
        <f t="shared" si="5"/>
        <v>2423.27</v>
      </c>
      <c r="K195" s="6"/>
    </row>
    <row r="196" spans="1:11" ht="24" x14ac:dyDescent="0.25">
      <c r="A196" s="3">
        <v>181</v>
      </c>
      <c r="B196" s="14" t="s">
        <v>27</v>
      </c>
      <c r="C196" s="15" t="str">
        <f>"5/2013-MUP-172"</f>
        <v>5/2013-MUP-172</v>
      </c>
      <c r="D196" s="15" t="str">
        <f t="shared" si="4"/>
        <v>EUROHERC OSIGURANJE D.D.</v>
      </c>
      <c r="E196" s="16">
        <v>42195</v>
      </c>
      <c r="F196" s="16">
        <v>42561</v>
      </c>
      <c r="G196" s="13">
        <v>19500.63</v>
      </c>
      <c r="H196" s="16">
        <v>42561</v>
      </c>
      <c r="I196" s="13">
        <v>19500.63</v>
      </c>
      <c r="J196" s="13">
        <f t="shared" si="5"/>
        <v>19500.63</v>
      </c>
      <c r="K196" s="6"/>
    </row>
    <row r="197" spans="1:11" ht="24" x14ac:dyDescent="0.25">
      <c r="A197" s="3">
        <v>182</v>
      </c>
      <c r="B197" s="14" t="s">
        <v>27</v>
      </c>
      <c r="C197" s="15" t="str">
        <f>"5/2013-MUP-171"</f>
        <v>5/2013-MUP-171</v>
      </c>
      <c r="D197" s="15" t="str">
        <f t="shared" si="4"/>
        <v>EUROHERC OSIGURANJE D.D.</v>
      </c>
      <c r="E197" s="16">
        <v>42194</v>
      </c>
      <c r="F197" s="16">
        <v>42560</v>
      </c>
      <c r="G197" s="13">
        <v>10365.25</v>
      </c>
      <c r="H197" s="16">
        <v>42560</v>
      </c>
      <c r="I197" s="13">
        <v>10365.25</v>
      </c>
      <c r="J197" s="13">
        <f t="shared" si="5"/>
        <v>10365.25</v>
      </c>
      <c r="K197" s="6"/>
    </row>
    <row r="198" spans="1:11" ht="24" x14ac:dyDescent="0.25">
      <c r="A198" s="3">
        <v>183</v>
      </c>
      <c r="B198" s="14" t="s">
        <v>58</v>
      </c>
      <c r="C198" s="15" t="str">
        <f>"4500010057"</f>
        <v>4500010057</v>
      </c>
      <c r="D198" s="15" t="str">
        <f t="shared" si="4"/>
        <v>EUROHERC OSIGURANJE D.D.</v>
      </c>
      <c r="E198" s="16">
        <v>42475</v>
      </c>
      <c r="F198" s="16">
        <v>42206</v>
      </c>
      <c r="G198" s="13">
        <v>843.82</v>
      </c>
      <c r="H198" s="16">
        <v>42206</v>
      </c>
      <c r="I198" s="13">
        <v>843.82</v>
      </c>
      <c r="J198" s="13">
        <f t="shared" si="5"/>
        <v>843.82</v>
      </c>
      <c r="K198" s="6"/>
    </row>
    <row r="199" spans="1:11" ht="24" x14ac:dyDescent="0.25">
      <c r="A199" s="3">
        <v>184</v>
      </c>
      <c r="B199" s="14" t="s">
        <v>58</v>
      </c>
      <c r="C199" s="15" t="str">
        <f>"45000010058"</f>
        <v>45000010058</v>
      </c>
      <c r="D199" s="15" t="str">
        <f t="shared" si="4"/>
        <v>EUROHERC OSIGURANJE D.D.</v>
      </c>
      <c r="E199" s="16">
        <v>42475</v>
      </c>
      <c r="F199" s="16">
        <v>42239</v>
      </c>
      <c r="G199" s="13">
        <v>1434.5</v>
      </c>
      <c r="H199" s="16">
        <v>42239</v>
      </c>
      <c r="I199" s="13">
        <v>1434.5</v>
      </c>
      <c r="J199" s="13">
        <f t="shared" si="5"/>
        <v>1434.5</v>
      </c>
      <c r="K199" s="6"/>
    </row>
    <row r="200" spans="1:11" ht="24" x14ac:dyDescent="0.25">
      <c r="A200" s="3">
        <v>185</v>
      </c>
      <c r="B200" s="14" t="s">
        <v>27</v>
      </c>
      <c r="C200" s="15" t="str">
        <f>"5/2013-MUP-170"</f>
        <v>5/2013-MUP-170</v>
      </c>
      <c r="D200" s="15" t="str">
        <f t="shared" si="4"/>
        <v>EUROHERC OSIGURANJE D.D.</v>
      </c>
      <c r="E200" s="16">
        <v>42193</v>
      </c>
      <c r="F200" s="16">
        <v>42559</v>
      </c>
      <c r="G200" s="13">
        <v>3746.05</v>
      </c>
      <c r="H200" s="16">
        <v>42559</v>
      </c>
      <c r="I200" s="13">
        <v>3746.05</v>
      </c>
      <c r="J200" s="13">
        <f t="shared" si="5"/>
        <v>3746.05</v>
      </c>
      <c r="K200" s="6"/>
    </row>
    <row r="201" spans="1:11" ht="24" x14ac:dyDescent="0.25">
      <c r="A201" s="3">
        <v>186</v>
      </c>
      <c r="B201" s="14" t="s">
        <v>27</v>
      </c>
      <c r="C201" s="15" t="str">
        <f>"5/2013-MUP-169"</f>
        <v>5/2013-MUP-169</v>
      </c>
      <c r="D201" s="15" t="str">
        <f t="shared" si="4"/>
        <v>EUROHERC OSIGURANJE D.D.</v>
      </c>
      <c r="E201" s="16">
        <v>42192</v>
      </c>
      <c r="F201" s="16">
        <v>42558</v>
      </c>
      <c r="G201" s="13">
        <v>1917.95</v>
      </c>
      <c r="H201" s="16">
        <v>42558</v>
      </c>
      <c r="I201" s="13">
        <v>1917.95</v>
      </c>
      <c r="J201" s="13">
        <f t="shared" si="5"/>
        <v>1917.95</v>
      </c>
      <c r="K201" s="6"/>
    </row>
    <row r="202" spans="1:11" ht="24" x14ac:dyDescent="0.25">
      <c r="A202" s="3">
        <v>187</v>
      </c>
      <c r="B202" s="14" t="s">
        <v>27</v>
      </c>
      <c r="C202" s="15" t="str">
        <f>"5/2013-MUP-168"</f>
        <v>5/2013-MUP-168</v>
      </c>
      <c r="D202" s="15" t="str">
        <f t="shared" si="4"/>
        <v>EUROHERC OSIGURANJE D.D.</v>
      </c>
      <c r="E202" s="16">
        <v>42191</v>
      </c>
      <c r="F202" s="16">
        <v>42557</v>
      </c>
      <c r="G202" s="13">
        <v>4793.3999999999996</v>
      </c>
      <c r="H202" s="16">
        <v>42557</v>
      </c>
      <c r="I202" s="13">
        <v>4793.3999999999996</v>
      </c>
      <c r="J202" s="13">
        <f t="shared" si="5"/>
        <v>4793.3999999999996</v>
      </c>
      <c r="K202" s="6"/>
    </row>
    <row r="203" spans="1:11" ht="24" x14ac:dyDescent="0.25">
      <c r="A203" s="3">
        <v>188</v>
      </c>
      <c r="B203" s="14" t="s">
        <v>27</v>
      </c>
      <c r="C203" s="15" t="str">
        <f>"5/2013-MUP-167"</f>
        <v>5/2013-MUP-167</v>
      </c>
      <c r="D203" s="15" t="str">
        <f t="shared" si="4"/>
        <v>EUROHERC OSIGURANJE D.D.</v>
      </c>
      <c r="E203" s="16">
        <v>42190</v>
      </c>
      <c r="F203" s="16">
        <v>42556</v>
      </c>
      <c r="G203" s="13">
        <v>11934.41</v>
      </c>
      <c r="H203" s="16">
        <v>42556</v>
      </c>
      <c r="I203" s="13">
        <v>11934.41</v>
      </c>
      <c r="J203" s="13">
        <f t="shared" si="5"/>
        <v>11934.41</v>
      </c>
      <c r="K203" s="6"/>
    </row>
    <row r="204" spans="1:11" ht="24" x14ac:dyDescent="0.25">
      <c r="A204" s="3">
        <v>189</v>
      </c>
      <c r="B204" s="14" t="s">
        <v>61</v>
      </c>
      <c r="C204" s="15" t="str">
        <f>"5/2013-DZM-25"</f>
        <v>5/2013-DZM-25</v>
      </c>
      <c r="D204" s="15" t="str">
        <f t="shared" si="4"/>
        <v>EUROHERC OSIGURANJE D.D.</v>
      </c>
      <c r="E204" s="16">
        <v>42189</v>
      </c>
      <c r="F204" s="16">
        <v>42555</v>
      </c>
      <c r="G204" s="13">
        <v>3906.51</v>
      </c>
      <c r="H204" s="16">
        <v>42555</v>
      </c>
      <c r="I204" s="13">
        <v>3906.51</v>
      </c>
      <c r="J204" s="13">
        <f t="shared" si="5"/>
        <v>3906.51</v>
      </c>
      <c r="K204" s="6"/>
    </row>
    <row r="205" spans="1:11" ht="24" x14ac:dyDescent="0.25">
      <c r="A205" s="3">
        <v>190</v>
      </c>
      <c r="B205" s="14" t="s">
        <v>27</v>
      </c>
      <c r="C205" s="15" t="str">
        <f>"5/2013-MUP-165"</f>
        <v>5/2013-MUP-165</v>
      </c>
      <c r="D205" s="15" t="str">
        <f t="shared" si="4"/>
        <v>EUROHERC OSIGURANJE D.D.</v>
      </c>
      <c r="E205" s="16">
        <v>42188</v>
      </c>
      <c r="F205" s="16">
        <v>42554</v>
      </c>
      <c r="G205" s="13">
        <v>1660.79</v>
      </c>
      <c r="H205" s="16">
        <v>42554</v>
      </c>
      <c r="I205" s="13">
        <v>1660.79</v>
      </c>
      <c r="J205" s="13">
        <f t="shared" si="5"/>
        <v>1660.79</v>
      </c>
      <c r="K205" s="6"/>
    </row>
    <row r="206" spans="1:11" ht="24" x14ac:dyDescent="0.25">
      <c r="A206" s="3">
        <v>191</v>
      </c>
      <c r="B206" s="14" t="s">
        <v>27</v>
      </c>
      <c r="C206" s="15" t="str">
        <f>"5/2013-MUP-164"</f>
        <v>5/2013-MUP-164</v>
      </c>
      <c r="D206" s="15" t="str">
        <f t="shared" si="4"/>
        <v>EUROHERC OSIGURANJE D.D.</v>
      </c>
      <c r="E206" s="16">
        <v>42187</v>
      </c>
      <c r="F206" s="16">
        <v>42553</v>
      </c>
      <c r="G206" s="13">
        <v>4992.76</v>
      </c>
      <c r="H206" s="16">
        <v>42553</v>
      </c>
      <c r="I206" s="13">
        <v>4992.76</v>
      </c>
      <c r="J206" s="13">
        <f t="shared" si="5"/>
        <v>4992.76</v>
      </c>
      <c r="K206" s="6"/>
    </row>
    <row r="207" spans="1:11" ht="24" x14ac:dyDescent="0.25">
      <c r="A207" s="3">
        <v>192</v>
      </c>
      <c r="B207" s="14" t="s">
        <v>27</v>
      </c>
      <c r="C207" s="15" t="str">
        <f>"5/2013-MUP-163"</f>
        <v>5/2013-MUP-163</v>
      </c>
      <c r="D207" s="15" t="str">
        <f t="shared" si="4"/>
        <v>EUROHERC OSIGURANJE D.D.</v>
      </c>
      <c r="E207" s="16">
        <v>42186</v>
      </c>
      <c r="F207" s="16">
        <v>42552</v>
      </c>
      <c r="G207" s="13">
        <v>127512.22</v>
      </c>
      <c r="H207" s="16">
        <v>42552</v>
      </c>
      <c r="I207" s="13">
        <v>127512.22</v>
      </c>
      <c r="J207" s="13">
        <f t="shared" si="5"/>
        <v>127512.22</v>
      </c>
      <c r="K207" s="6"/>
    </row>
    <row r="208" spans="1:11" ht="24" x14ac:dyDescent="0.25">
      <c r="A208" s="3">
        <v>193</v>
      </c>
      <c r="B208" s="14" t="s">
        <v>27</v>
      </c>
      <c r="C208" s="15" t="str">
        <f>"5/2013-MUP-162"</f>
        <v>5/2013-MUP-162</v>
      </c>
      <c r="D208" s="15" t="str">
        <f t="shared" ref="D208:D271" si="6">CONCATENATE("EUROHERC OSIGURANJE D.D.")</f>
        <v>EUROHERC OSIGURANJE D.D.</v>
      </c>
      <c r="E208" s="16">
        <v>42185</v>
      </c>
      <c r="F208" s="16">
        <v>42551</v>
      </c>
      <c r="G208" s="13">
        <v>5482.9</v>
      </c>
      <c r="H208" s="16">
        <v>42551</v>
      </c>
      <c r="I208" s="13">
        <v>5482.9</v>
      </c>
      <c r="J208" s="13">
        <f t="shared" si="5"/>
        <v>5482.9</v>
      </c>
      <c r="K208" s="6"/>
    </row>
    <row r="209" spans="1:11" ht="24" x14ac:dyDescent="0.25">
      <c r="A209" s="3">
        <v>194</v>
      </c>
      <c r="B209" s="14" t="s">
        <v>27</v>
      </c>
      <c r="C209" s="15" t="str">
        <f>"5/2013-MUP-161"</f>
        <v>5/2013-MUP-161</v>
      </c>
      <c r="D209" s="15" t="str">
        <f t="shared" si="6"/>
        <v>EUROHERC OSIGURANJE D.D.</v>
      </c>
      <c r="E209" s="16">
        <v>42184</v>
      </c>
      <c r="F209" s="16">
        <v>42550</v>
      </c>
      <c r="G209" s="13">
        <v>7373.81</v>
      </c>
      <c r="H209" s="16">
        <v>42550</v>
      </c>
      <c r="I209" s="13">
        <v>7373.81</v>
      </c>
      <c r="J209" s="13">
        <f t="shared" ref="J209:J272" si="7">I209</f>
        <v>7373.81</v>
      </c>
      <c r="K209" s="6"/>
    </row>
    <row r="210" spans="1:11" ht="24" x14ac:dyDescent="0.25">
      <c r="A210" s="3">
        <v>195</v>
      </c>
      <c r="B210" s="14" t="s">
        <v>27</v>
      </c>
      <c r="C210" s="15" t="str">
        <f>"5/2013-MUP-160"</f>
        <v>5/2013-MUP-160</v>
      </c>
      <c r="D210" s="15" t="str">
        <f t="shared" si="6"/>
        <v>EUROHERC OSIGURANJE D.D.</v>
      </c>
      <c r="E210" s="16">
        <v>42183</v>
      </c>
      <c r="F210" s="16">
        <v>42549</v>
      </c>
      <c r="G210" s="13">
        <v>2457</v>
      </c>
      <c r="H210" s="16">
        <v>42549</v>
      </c>
      <c r="I210" s="13">
        <v>2457</v>
      </c>
      <c r="J210" s="13">
        <f t="shared" si="7"/>
        <v>2457</v>
      </c>
      <c r="K210" s="6"/>
    </row>
    <row r="211" spans="1:11" ht="24" x14ac:dyDescent="0.25">
      <c r="A211" s="3">
        <v>196</v>
      </c>
      <c r="B211" s="14" t="s">
        <v>27</v>
      </c>
      <c r="C211" s="15" t="str">
        <f>"5/2013-MUP-190"</f>
        <v>5/2013-MUP-190</v>
      </c>
      <c r="D211" s="15" t="str">
        <f t="shared" si="6"/>
        <v>EUROHERC OSIGURANJE D.D.</v>
      </c>
      <c r="E211" s="16">
        <v>42183</v>
      </c>
      <c r="F211" s="16">
        <v>42549</v>
      </c>
      <c r="G211" s="13">
        <v>22173.65</v>
      </c>
      <c r="H211" s="16">
        <v>42549</v>
      </c>
      <c r="I211" s="13">
        <v>22173.65</v>
      </c>
      <c r="J211" s="13">
        <f t="shared" si="7"/>
        <v>22173.65</v>
      </c>
      <c r="K211" s="6"/>
    </row>
    <row r="212" spans="1:11" ht="24" x14ac:dyDescent="0.25">
      <c r="A212" s="3">
        <v>197</v>
      </c>
      <c r="B212" s="14" t="s">
        <v>27</v>
      </c>
      <c r="C212" s="15" t="str">
        <f>"5/2013-MUP-189"</f>
        <v>5/2013-MUP-189</v>
      </c>
      <c r="D212" s="15" t="str">
        <f t="shared" si="6"/>
        <v>EUROHERC OSIGURANJE D.D.</v>
      </c>
      <c r="E212" s="16">
        <v>42182</v>
      </c>
      <c r="F212" s="16">
        <v>42182</v>
      </c>
      <c r="G212" s="13">
        <v>32639.56</v>
      </c>
      <c r="H212" s="16">
        <v>42182</v>
      </c>
      <c r="I212" s="13">
        <v>32639.56</v>
      </c>
      <c r="J212" s="13">
        <f t="shared" si="7"/>
        <v>32639.56</v>
      </c>
      <c r="K212" s="6"/>
    </row>
    <row r="213" spans="1:11" ht="24" x14ac:dyDescent="0.25">
      <c r="A213" s="3">
        <v>198</v>
      </c>
      <c r="B213" s="14" t="s">
        <v>50</v>
      </c>
      <c r="C213" s="15" t="str">
        <f>"BROJ 08101957430"</f>
        <v>BROJ 08101957430</v>
      </c>
      <c r="D213" s="15" t="str">
        <f t="shared" si="6"/>
        <v>EUROHERC OSIGURANJE D.D.</v>
      </c>
      <c r="E213" s="16">
        <v>42150</v>
      </c>
      <c r="F213" s="16">
        <v>42548</v>
      </c>
      <c r="G213" s="13">
        <v>3845.28</v>
      </c>
      <c r="H213" s="16">
        <v>42548</v>
      </c>
      <c r="I213" s="13">
        <v>3845.28</v>
      </c>
      <c r="J213" s="13">
        <f t="shared" si="7"/>
        <v>3845.28</v>
      </c>
      <c r="K213" s="6"/>
    </row>
    <row r="214" spans="1:11" ht="24" x14ac:dyDescent="0.25">
      <c r="A214" s="3">
        <v>199</v>
      </c>
      <c r="B214" s="14" t="s">
        <v>27</v>
      </c>
      <c r="C214" s="15" t="str">
        <f>"5/2013-MUP-159"</f>
        <v>5/2013-MUP-159</v>
      </c>
      <c r="D214" s="15" t="str">
        <f t="shared" si="6"/>
        <v>EUROHERC OSIGURANJE D.D.</v>
      </c>
      <c r="E214" s="16">
        <v>42182</v>
      </c>
      <c r="F214" s="16">
        <v>42548</v>
      </c>
      <c r="G214" s="13">
        <v>1691.72</v>
      </c>
      <c r="H214" s="16">
        <v>42548</v>
      </c>
      <c r="I214" s="13">
        <v>1691.72</v>
      </c>
      <c r="J214" s="13">
        <f t="shared" si="7"/>
        <v>1691.72</v>
      </c>
      <c r="K214" s="6"/>
    </row>
    <row r="215" spans="1:11" ht="24" x14ac:dyDescent="0.25">
      <c r="A215" s="3">
        <v>200</v>
      </c>
      <c r="B215" s="14" t="s">
        <v>50</v>
      </c>
      <c r="C215" s="15" t="str">
        <f>"BROJ 0831176153"</f>
        <v>BROJ 0831176153</v>
      </c>
      <c r="D215" s="15" t="str">
        <f t="shared" si="6"/>
        <v>EUROHERC OSIGURANJE D.D.</v>
      </c>
      <c r="E215" s="16">
        <v>42150</v>
      </c>
      <c r="F215" s="16">
        <v>42548</v>
      </c>
      <c r="G215" s="13">
        <v>10.86</v>
      </c>
      <c r="H215" s="16">
        <v>42548</v>
      </c>
      <c r="I215" s="13">
        <v>10.86</v>
      </c>
      <c r="J215" s="13">
        <f t="shared" si="7"/>
        <v>10.86</v>
      </c>
      <c r="K215" s="6"/>
    </row>
    <row r="216" spans="1:11" ht="24" x14ac:dyDescent="0.25">
      <c r="A216" s="3">
        <v>201</v>
      </c>
      <c r="B216" s="14" t="s">
        <v>50</v>
      </c>
      <c r="C216" s="15" t="str">
        <f>"BROJ 0831176154"</f>
        <v>BROJ 0831176154</v>
      </c>
      <c r="D216" s="15" t="str">
        <f t="shared" si="6"/>
        <v>EUROHERC OSIGURANJE D.D.</v>
      </c>
      <c r="E216" s="16">
        <v>42150</v>
      </c>
      <c r="F216" s="16">
        <v>42548</v>
      </c>
      <c r="G216" s="13">
        <v>24</v>
      </c>
      <c r="H216" s="16">
        <v>42548</v>
      </c>
      <c r="I216" s="13">
        <v>24</v>
      </c>
      <c r="J216" s="13">
        <f t="shared" si="7"/>
        <v>24</v>
      </c>
      <c r="K216" s="6"/>
    </row>
    <row r="217" spans="1:11" ht="24" x14ac:dyDescent="0.25">
      <c r="A217" s="3">
        <v>202</v>
      </c>
      <c r="B217" s="14" t="s">
        <v>50</v>
      </c>
      <c r="C217" s="15" t="str">
        <f>"BROJ 08101957431"</f>
        <v>BROJ 08101957431</v>
      </c>
      <c r="D217" s="15" t="str">
        <f t="shared" si="6"/>
        <v>EUROHERC OSIGURANJE D.D.</v>
      </c>
      <c r="E217" s="16">
        <v>42150</v>
      </c>
      <c r="F217" s="16">
        <v>42548</v>
      </c>
      <c r="G217" s="13">
        <v>5528.25</v>
      </c>
      <c r="H217" s="16">
        <v>42548</v>
      </c>
      <c r="I217" s="13">
        <v>5528.25</v>
      </c>
      <c r="J217" s="13">
        <f t="shared" si="7"/>
        <v>5528.25</v>
      </c>
      <c r="K217" s="6"/>
    </row>
    <row r="218" spans="1:11" ht="24" x14ac:dyDescent="0.25">
      <c r="A218" s="3">
        <v>203</v>
      </c>
      <c r="B218" s="14" t="s">
        <v>61</v>
      </c>
      <c r="C218" s="15" t="str">
        <f>"5/2013-DZM-23"</f>
        <v>5/2013-DZM-23</v>
      </c>
      <c r="D218" s="15" t="str">
        <f t="shared" si="6"/>
        <v>EUROHERC OSIGURANJE D.D.</v>
      </c>
      <c r="E218" s="16">
        <v>42181</v>
      </c>
      <c r="F218" s="16">
        <v>42547</v>
      </c>
      <c r="G218" s="13">
        <v>1334.66</v>
      </c>
      <c r="H218" s="16">
        <v>42547</v>
      </c>
      <c r="I218" s="13">
        <v>1334.66</v>
      </c>
      <c r="J218" s="13">
        <f t="shared" si="7"/>
        <v>1334.66</v>
      </c>
      <c r="K218" s="6"/>
    </row>
    <row r="219" spans="1:11" ht="24" x14ac:dyDescent="0.25">
      <c r="A219" s="3">
        <v>204</v>
      </c>
      <c r="B219" s="14" t="s">
        <v>27</v>
      </c>
      <c r="C219" s="15" t="str">
        <f>"5/2013-MUP-158"</f>
        <v>5/2013-MUP-158</v>
      </c>
      <c r="D219" s="15" t="str">
        <f t="shared" si="6"/>
        <v>EUROHERC OSIGURANJE D.D.</v>
      </c>
      <c r="E219" s="16">
        <v>42181</v>
      </c>
      <c r="F219" s="16">
        <v>42547</v>
      </c>
      <c r="G219" s="13">
        <v>18209.53</v>
      </c>
      <c r="H219" s="16">
        <v>42547</v>
      </c>
      <c r="I219" s="13">
        <v>18209.53</v>
      </c>
      <c r="J219" s="13">
        <f t="shared" si="7"/>
        <v>18209.53</v>
      </c>
      <c r="K219" s="6"/>
    </row>
    <row r="220" spans="1:11" ht="24" x14ac:dyDescent="0.25">
      <c r="A220" s="3">
        <v>205</v>
      </c>
      <c r="B220" s="14" t="s">
        <v>27</v>
      </c>
      <c r="C220" s="15" t="str">
        <f>"5/2013-MUP-157"</f>
        <v>5/2013-MUP-157</v>
      </c>
      <c r="D220" s="15" t="str">
        <f t="shared" si="6"/>
        <v>EUROHERC OSIGURANJE D.D.</v>
      </c>
      <c r="E220" s="16">
        <v>42180</v>
      </c>
      <c r="F220" s="16">
        <v>42546</v>
      </c>
      <c r="G220" s="13">
        <v>1224.73</v>
      </c>
      <c r="H220" s="16">
        <v>42546</v>
      </c>
      <c r="I220" s="13">
        <v>1224.73</v>
      </c>
      <c r="J220" s="13">
        <f t="shared" si="7"/>
        <v>1224.73</v>
      </c>
      <c r="K220" s="6"/>
    </row>
    <row r="221" spans="1:11" ht="24" x14ac:dyDescent="0.25">
      <c r="A221" s="3">
        <v>206</v>
      </c>
      <c r="B221" s="14" t="s">
        <v>27</v>
      </c>
      <c r="C221" s="15" t="str">
        <f>"5/2013-MUP-187"</f>
        <v>5/2013-MUP-187</v>
      </c>
      <c r="D221" s="15" t="str">
        <f t="shared" si="6"/>
        <v>EUROHERC OSIGURANJE D.D.</v>
      </c>
      <c r="E221" s="16">
        <v>42180</v>
      </c>
      <c r="F221" s="16">
        <v>42546</v>
      </c>
      <c r="G221" s="13">
        <v>13941.74</v>
      </c>
      <c r="H221" s="16">
        <v>42546</v>
      </c>
      <c r="I221" s="13">
        <v>13941.74</v>
      </c>
      <c r="J221" s="13">
        <f t="shared" si="7"/>
        <v>13941.74</v>
      </c>
      <c r="K221" s="6"/>
    </row>
    <row r="222" spans="1:11" ht="24" x14ac:dyDescent="0.25">
      <c r="A222" s="3">
        <v>207</v>
      </c>
      <c r="B222" s="14" t="s">
        <v>27</v>
      </c>
      <c r="C222" s="15" t="str">
        <f>"5/2013-MUP-186"</f>
        <v>5/2013-MUP-186</v>
      </c>
      <c r="D222" s="15" t="str">
        <f t="shared" si="6"/>
        <v>EUROHERC OSIGURANJE D.D.</v>
      </c>
      <c r="E222" s="16">
        <v>42179</v>
      </c>
      <c r="F222" s="16">
        <v>42545</v>
      </c>
      <c r="G222" s="13">
        <v>6340.91</v>
      </c>
      <c r="H222" s="16">
        <v>42545</v>
      </c>
      <c r="I222" s="13">
        <v>6340.91</v>
      </c>
      <c r="J222" s="13">
        <f t="shared" si="7"/>
        <v>6340.91</v>
      </c>
      <c r="K222" s="6"/>
    </row>
    <row r="223" spans="1:11" ht="24" x14ac:dyDescent="0.25">
      <c r="A223" s="3">
        <v>208</v>
      </c>
      <c r="B223" s="14" t="s">
        <v>27</v>
      </c>
      <c r="C223" s="15" t="str">
        <f>"5/2013-MUP-156"</f>
        <v>5/2013-MUP-156</v>
      </c>
      <c r="D223" s="15" t="str">
        <f t="shared" si="6"/>
        <v>EUROHERC OSIGURANJE D.D.</v>
      </c>
      <c r="E223" s="16">
        <v>42179</v>
      </c>
      <c r="F223" s="16">
        <v>42545</v>
      </c>
      <c r="G223" s="13">
        <v>42647.32</v>
      </c>
      <c r="H223" s="16">
        <v>42545</v>
      </c>
      <c r="I223" s="13">
        <v>42647.32</v>
      </c>
      <c r="J223" s="13">
        <f t="shared" si="7"/>
        <v>42647.32</v>
      </c>
      <c r="K223" s="6"/>
    </row>
    <row r="224" spans="1:11" ht="24" x14ac:dyDescent="0.25">
      <c r="A224" s="3">
        <v>209</v>
      </c>
      <c r="B224" s="14" t="s">
        <v>27</v>
      </c>
      <c r="C224" s="15" t="str">
        <f>"5/2013-MUP-185"</f>
        <v>5/2013-MUP-185</v>
      </c>
      <c r="D224" s="15" t="str">
        <f t="shared" si="6"/>
        <v>EUROHERC OSIGURANJE D.D.</v>
      </c>
      <c r="E224" s="16">
        <v>42178</v>
      </c>
      <c r="F224" s="16">
        <v>42544</v>
      </c>
      <c r="G224" s="13">
        <v>10249.56</v>
      </c>
      <c r="H224" s="16">
        <v>42544</v>
      </c>
      <c r="I224" s="13">
        <v>10249.56</v>
      </c>
      <c r="J224" s="13">
        <f t="shared" si="7"/>
        <v>10249.56</v>
      </c>
      <c r="K224" s="6"/>
    </row>
    <row r="225" spans="1:11" ht="24" x14ac:dyDescent="0.25">
      <c r="A225" s="3">
        <v>210</v>
      </c>
      <c r="B225" s="14" t="s">
        <v>27</v>
      </c>
      <c r="C225" s="15" t="str">
        <f>"5/2013-MUP-155"</f>
        <v>5/2013-MUP-155</v>
      </c>
      <c r="D225" s="15" t="str">
        <f t="shared" si="6"/>
        <v>EUROHERC OSIGURANJE D.D.</v>
      </c>
      <c r="E225" s="16">
        <v>42178</v>
      </c>
      <c r="F225" s="16">
        <v>42544</v>
      </c>
      <c r="G225" s="13">
        <v>2333.58</v>
      </c>
      <c r="H225" s="16">
        <v>42544</v>
      </c>
      <c r="I225" s="13">
        <v>2333.58</v>
      </c>
      <c r="J225" s="13">
        <f t="shared" si="7"/>
        <v>2333.58</v>
      </c>
      <c r="K225" s="6"/>
    </row>
    <row r="226" spans="1:11" ht="24" x14ac:dyDescent="0.25">
      <c r="A226" s="3">
        <v>211</v>
      </c>
      <c r="B226" s="14" t="s">
        <v>61</v>
      </c>
      <c r="C226" s="15" t="str">
        <f>"5/2013-DZM-22"</f>
        <v>5/2013-DZM-22</v>
      </c>
      <c r="D226" s="15" t="str">
        <f t="shared" si="6"/>
        <v>EUROHERC OSIGURANJE D.D.</v>
      </c>
      <c r="E226" s="16">
        <v>42176</v>
      </c>
      <c r="F226" s="16">
        <v>42542</v>
      </c>
      <c r="G226" s="13">
        <v>1077.23</v>
      </c>
      <c r="H226" s="16">
        <v>42542</v>
      </c>
      <c r="I226" s="13">
        <v>1077.23</v>
      </c>
      <c r="J226" s="13">
        <f t="shared" si="7"/>
        <v>1077.23</v>
      </c>
      <c r="K226" s="6"/>
    </row>
    <row r="227" spans="1:11" ht="24" x14ac:dyDescent="0.25">
      <c r="A227" s="3">
        <v>212</v>
      </c>
      <c r="B227" s="14" t="s">
        <v>27</v>
      </c>
      <c r="C227" s="15" t="str">
        <f>"5/2013-MUP-183"</f>
        <v>5/2013-MUP-183</v>
      </c>
      <c r="D227" s="15" t="str">
        <f t="shared" si="6"/>
        <v>EUROHERC OSIGURANJE D.D.</v>
      </c>
      <c r="E227" s="16">
        <v>42176</v>
      </c>
      <c r="F227" s="16">
        <v>42542</v>
      </c>
      <c r="G227" s="13">
        <v>5461.06</v>
      </c>
      <c r="H227" s="16">
        <v>42542</v>
      </c>
      <c r="I227" s="13">
        <v>5461.06</v>
      </c>
      <c r="J227" s="13">
        <f t="shared" si="7"/>
        <v>5461.06</v>
      </c>
      <c r="K227" s="6"/>
    </row>
    <row r="228" spans="1:11" ht="24" x14ac:dyDescent="0.25">
      <c r="A228" s="3">
        <v>213</v>
      </c>
      <c r="B228" s="14" t="s">
        <v>27</v>
      </c>
      <c r="C228" s="15" t="str">
        <f>"5/2013-MUP-154"</f>
        <v>5/2013-MUP-154</v>
      </c>
      <c r="D228" s="15" t="str">
        <f t="shared" si="6"/>
        <v>EUROHERC OSIGURANJE D.D.</v>
      </c>
      <c r="E228" s="16">
        <v>42176</v>
      </c>
      <c r="F228" s="16">
        <v>42542</v>
      </c>
      <c r="G228" s="13">
        <v>4684.8100000000004</v>
      </c>
      <c r="H228" s="16">
        <v>42542</v>
      </c>
      <c r="I228" s="13">
        <v>4684.8100000000004</v>
      </c>
      <c r="J228" s="13">
        <f t="shared" si="7"/>
        <v>4684.8100000000004</v>
      </c>
      <c r="K228" s="6"/>
    </row>
    <row r="229" spans="1:11" ht="24" x14ac:dyDescent="0.25">
      <c r="A229" s="3">
        <v>214</v>
      </c>
      <c r="B229" s="14" t="s">
        <v>27</v>
      </c>
      <c r="C229" s="15" t="str">
        <f>"5/2013-MUP-153"</f>
        <v>5/2013-MUP-153</v>
      </c>
      <c r="D229" s="15" t="str">
        <f t="shared" si="6"/>
        <v>EUROHERC OSIGURANJE D.D.</v>
      </c>
      <c r="E229" s="16">
        <v>42175</v>
      </c>
      <c r="F229" s="16">
        <v>42541</v>
      </c>
      <c r="G229" s="13">
        <v>5746.93</v>
      </c>
      <c r="H229" s="16">
        <v>42541</v>
      </c>
      <c r="I229" s="13">
        <v>5746.93</v>
      </c>
      <c r="J229" s="13">
        <f t="shared" si="7"/>
        <v>5746.93</v>
      </c>
      <c r="K229" s="6"/>
    </row>
    <row r="230" spans="1:11" ht="24" x14ac:dyDescent="0.25">
      <c r="A230" s="3">
        <v>215</v>
      </c>
      <c r="B230" s="14" t="s">
        <v>27</v>
      </c>
      <c r="C230" s="15" t="str">
        <f>"5/2013-MUP-152"</f>
        <v>5/2013-MUP-152</v>
      </c>
      <c r="D230" s="15" t="str">
        <f t="shared" si="6"/>
        <v>EUROHERC OSIGURANJE D.D.</v>
      </c>
      <c r="E230" s="16">
        <v>42174</v>
      </c>
      <c r="F230" s="16">
        <v>42540</v>
      </c>
      <c r="G230" s="13">
        <v>1860.9</v>
      </c>
      <c r="H230" s="16">
        <v>42540</v>
      </c>
      <c r="I230" s="13">
        <v>1860.9</v>
      </c>
      <c r="J230" s="13">
        <f t="shared" si="7"/>
        <v>1860.9</v>
      </c>
      <c r="K230" s="6"/>
    </row>
    <row r="231" spans="1:11" ht="24" x14ac:dyDescent="0.25">
      <c r="A231" s="3">
        <v>216</v>
      </c>
      <c r="B231" s="14" t="s">
        <v>27</v>
      </c>
      <c r="C231" s="15" t="str">
        <f>"5/2013-MUP-151"</f>
        <v>5/2013-MUP-151</v>
      </c>
      <c r="D231" s="15" t="str">
        <f t="shared" si="6"/>
        <v>EUROHERC OSIGURANJE D.D.</v>
      </c>
      <c r="E231" s="16">
        <v>42173</v>
      </c>
      <c r="F231" s="16">
        <v>42539</v>
      </c>
      <c r="G231" s="13">
        <v>5597.1</v>
      </c>
      <c r="H231" s="16">
        <v>42539</v>
      </c>
      <c r="I231" s="13">
        <v>5597.1</v>
      </c>
      <c r="J231" s="13">
        <f t="shared" si="7"/>
        <v>5597.1</v>
      </c>
      <c r="K231" s="6"/>
    </row>
    <row r="232" spans="1:11" ht="24" x14ac:dyDescent="0.25">
      <c r="A232" s="3">
        <v>217</v>
      </c>
      <c r="B232" s="14" t="s">
        <v>27</v>
      </c>
      <c r="C232" s="15" t="str">
        <f>"5/2013-MUP-150"</f>
        <v>5/2013-MUP-150</v>
      </c>
      <c r="D232" s="15" t="str">
        <f t="shared" si="6"/>
        <v>EUROHERC OSIGURANJE D.D.</v>
      </c>
      <c r="E232" s="16">
        <v>42171</v>
      </c>
      <c r="F232" s="16">
        <v>42537</v>
      </c>
      <c r="G232" s="13">
        <v>4010.34</v>
      </c>
      <c r="H232" s="16">
        <v>42537</v>
      </c>
      <c r="I232" s="13">
        <v>4010.34</v>
      </c>
      <c r="J232" s="13">
        <f t="shared" si="7"/>
        <v>4010.34</v>
      </c>
      <c r="K232" s="6"/>
    </row>
    <row r="233" spans="1:11" ht="24" x14ac:dyDescent="0.25">
      <c r="A233" s="3">
        <v>218</v>
      </c>
      <c r="B233" s="14" t="s">
        <v>54</v>
      </c>
      <c r="C233" s="15" t="str">
        <f>"831176101"</f>
        <v>831176101</v>
      </c>
      <c r="D233" s="15" t="str">
        <f t="shared" si="6"/>
        <v>EUROHERC OSIGURANJE D.D.</v>
      </c>
      <c r="E233" s="16">
        <v>42137</v>
      </c>
      <c r="F233" s="16">
        <v>42536</v>
      </c>
      <c r="G233" s="13">
        <v>12.02</v>
      </c>
      <c r="H233" s="16">
        <v>42536</v>
      </c>
      <c r="I233" s="13">
        <v>12.02</v>
      </c>
      <c r="J233" s="13">
        <f t="shared" si="7"/>
        <v>12.02</v>
      </c>
      <c r="K233" s="6"/>
    </row>
    <row r="234" spans="1:11" ht="24" x14ac:dyDescent="0.25">
      <c r="A234" s="3">
        <v>219</v>
      </c>
      <c r="B234" s="14" t="s">
        <v>61</v>
      </c>
      <c r="C234" s="15" t="str">
        <f>"5/2013-DZM-21"</f>
        <v>5/2013-DZM-21</v>
      </c>
      <c r="D234" s="15" t="str">
        <f t="shared" si="6"/>
        <v>EUROHERC OSIGURANJE D.D.</v>
      </c>
      <c r="E234" s="16">
        <v>42169</v>
      </c>
      <c r="F234" s="16">
        <v>42535</v>
      </c>
      <c r="G234" s="13">
        <v>1420.54</v>
      </c>
      <c r="H234" s="16">
        <v>42535</v>
      </c>
      <c r="I234" s="13">
        <v>1420.54</v>
      </c>
      <c r="J234" s="13">
        <f t="shared" si="7"/>
        <v>1420.54</v>
      </c>
      <c r="K234" s="6"/>
    </row>
    <row r="235" spans="1:11" ht="24" x14ac:dyDescent="0.25">
      <c r="A235" s="3">
        <v>220</v>
      </c>
      <c r="B235" s="14" t="s">
        <v>27</v>
      </c>
      <c r="C235" s="15" t="str">
        <f>"5/2013-MUP-149"</f>
        <v>5/2013-MUP-149</v>
      </c>
      <c r="D235" s="15" t="str">
        <f t="shared" si="6"/>
        <v>EUROHERC OSIGURANJE D.D.</v>
      </c>
      <c r="E235" s="16">
        <v>42168</v>
      </c>
      <c r="F235" s="16">
        <v>42534</v>
      </c>
      <c r="G235" s="13">
        <v>879.82</v>
      </c>
      <c r="H235" s="16">
        <v>42534</v>
      </c>
      <c r="I235" s="13">
        <v>879.82</v>
      </c>
      <c r="J235" s="13">
        <f t="shared" si="7"/>
        <v>879.82</v>
      </c>
      <c r="K235" s="6"/>
    </row>
    <row r="236" spans="1:11" ht="24" x14ac:dyDescent="0.25">
      <c r="A236" s="3">
        <v>221</v>
      </c>
      <c r="B236" s="14" t="s">
        <v>27</v>
      </c>
      <c r="C236" s="15" t="str">
        <f>"5/2013-MUP-66"</f>
        <v>5/2013-MUP-66</v>
      </c>
      <c r="D236" s="15" t="str">
        <f t="shared" si="6"/>
        <v>EUROHERC OSIGURANJE D.D.</v>
      </c>
      <c r="E236" s="16">
        <v>42167</v>
      </c>
      <c r="F236" s="16">
        <v>42533</v>
      </c>
      <c r="G236" s="13">
        <v>32168.7</v>
      </c>
      <c r="H236" s="16">
        <v>42533</v>
      </c>
      <c r="I236" s="13">
        <v>32168.7</v>
      </c>
      <c r="J236" s="13">
        <f t="shared" si="7"/>
        <v>32168.7</v>
      </c>
      <c r="K236" s="6"/>
    </row>
    <row r="237" spans="1:11" ht="24" x14ac:dyDescent="0.25">
      <c r="A237" s="3">
        <v>222</v>
      </c>
      <c r="B237" s="14" t="s">
        <v>27</v>
      </c>
      <c r="C237" s="15" t="str">
        <f>"5/2013-MUP-148"</f>
        <v>5/2013-MUP-148</v>
      </c>
      <c r="D237" s="15" t="str">
        <f t="shared" si="6"/>
        <v>EUROHERC OSIGURANJE D.D.</v>
      </c>
      <c r="E237" s="16">
        <v>42166</v>
      </c>
      <c r="F237" s="16">
        <v>42532</v>
      </c>
      <c r="G237" s="13">
        <v>2419.2800000000002</v>
      </c>
      <c r="H237" s="16">
        <v>42532</v>
      </c>
      <c r="I237" s="13">
        <v>2419.2800000000002</v>
      </c>
      <c r="J237" s="13">
        <f t="shared" si="7"/>
        <v>2419.2800000000002</v>
      </c>
      <c r="K237" s="6"/>
    </row>
    <row r="238" spans="1:11" ht="24" x14ac:dyDescent="0.25">
      <c r="A238" s="3">
        <v>223</v>
      </c>
      <c r="B238" s="14" t="s">
        <v>27</v>
      </c>
      <c r="C238" s="15" t="str">
        <f>"5/2013-MUP-147"</f>
        <v>5/2013-MUP-147</v>
      </c>
      <c r="D238" s="15" t="str">
        <f t="shared" si="6"/>
        <v>EUROHERC OSIGURANJE D.D.</v>
      </c>
      <c r="E238" s="16">
        <v>42165</v>
      </c>
      <c r="F238" s="16">
        <v>42531</v>
      </c>
      <c r="G238" s="13">
        <v>1023.25</v>
      </c>
      <c r="H238" s="16">
        <v>42531</v>
      </c>
      <c r="I238" s="13">
        <v>1023.25</v>
      </c>
      <c r="J238" s="13">
        <f t="shared" si="7"/>
        <v>1023.25</v>
      </c>
      <c r="K238" s="6"/>
    </row>
    <row r="239" spans="1:11" ht="24" x14ac:dyDescent="0.25">
      <c r="A239" s="3">
        <v>224</v>
      </c>
      <c r="B239" s="14" t="s">
        <v>27</v>
      </c>
      <c r="C239" s="15" t="str">
        <f>"5/2013-MUP-146"</f>
        <v>5/2013-MUP-146</v>
      </c>
      <c r="D239" s="15" t="str">
        <f t="shared" si="6"/>
        <v>EUROHERC OSIGURANJE D.D.</v>
      </c>
      <c r="E239" s="16">
        <v>42164</v>
      </c>
      <c r="F239" s="16">
        <v>42530</v>
      </c>
      <c r="G239" s="13">
        <v>10513.26</v>
      </c>
      <c r="H239" s="16">
        <v>42530</v>
      </c>
      <c r="I239" s="13">
        <v>10513.26</v>
      </c>
      <c r="J239" s="13">
        <f t="shared" si="7"/>
        <v>10513.26</v>
      </c>
      <c r="K239" s="6"/>
    </row>
    <row r="240" spans="1:11" ht="24" x14ac:dyDescent="0.25">
      <c r="A240" s="3">
        <v>225</v>
      </c>
      <c r="B240" s="14" t="s">
        <v>27</v>
      </c>
      <c r="C240" s="15" t="str">
        <f>"5/2013-MUP-145"</f>
        <v>5/2013-MUP-145</v>
      </c>
      <c r="D240" s="15" t="str">
        <f t="shared" si="6"/>
        <v>EUROHERC OSIGURANJE D.D.</v>
      </c>
      <c r="E240" s="16">
        <v>42163</v>
      </c>
      <c r="F240" s="16">
        <v>42529</v>
      </c>
      <c r="G240" s="13">
        <v>5935.41</v>
      </c>
      <c r="H240" s="16">
        <v>42529</v>
      </c>
      <c r="I240" s="13">
        <v>5935.41</v>
      </c>
      <c r="J240" s="13">
        <f t="shared" si="7"/>
        <v>5935.41</v>
      </c>
      <c r="K240" s="6"/>
    </row>
    <row r="241" spans="1:11" ht="24" x14ac:dyDescent="0.25">
      <c r="A241" s="3">
        <v>226</v>
      </c>
      <c r="B241" s="14" t="s">
        <v>27</v>
      </c>
      <c r="C241" s="15" t="str">
        <f>"5/2013-MUP-144"</f>
        <v>5/2013-MUP-144</v>
      </c>
      <c r="D241" s="15" t="str">
        <f t="shared" si="6"/>
        <v>EUROHERC OSIGURANJE D.D.</v>
      </c>
      <c r="E241" s="16">
        <v>42162</v>
      </c>
      <c r="F241" s="16">
        <v>42528</v>
      </c>
      <c r="G241" s="13">
        <v>1166.6500000000001</v>
      </c>
      <c r="H241" s="16">
        <v>42528</v>
      </c>
      <c r="I241" s="13">
        <v>1166.6500000000001</v>
      </c>
      <c r="J241" s="13">
        <f t="shared" si="7"/>
        <v>1166.6500000000001</v>
      </c>
      <c r="K241" s="6"/>
    </row>
    <row r="242" spans="1:11" ht="24" x14ac:dyDescent="0.25">
      <c r="A242" s="3">
        <v>227</v>
      </c>
      <c r="B242" s="14" t="s">
        <v>27</v>
      </c>
      <c r="C242" s="15" t="str">
        <f>"5/2013-MUP-143"</f>
        <v>5/2013-MUP-143</v>
      </c>
      <c r="D242" s="15" t="str">
        <f t="shared" si="6"/>
        <v>EUROHERC OSIGURANJE D.D.</v>
      </c>
      <c r="E242" s="16">
        <v>42161</v>
      </c>
      <c r="F242" s="16">
        <v>42527</v>
      </c>
      <c r="G242" s="13">
        <v>784.37</v>
      </c>
      <c r="H242" s="16">
        <v>42527</v>
      </c>
      <c r="I242" s="13">
        <v>784.37</v>
      </c>
      <c r="J242" s="13">
        <f t="shared" si="7"/>
        <v>784.37</v>
      </c>
      <c r="K242" s="6"/>
    </row>
    <row r="243" spans="1:11" ht="24" x14ac:dyDescent="0.25">
      <c r="A243" s="3">
        <v>228</v>
      </c>
      <c r="B243" s="14" t="s">
        <v>27</v>
      </c>
      <c r="C243" s="15" t="str">
        <f>"5/2013-MUP-142"</f>
        <v>5/2013-MUP-142</v>
      </c>
      <c r="D243" s="15" t="str">
        <f t="shared" si="6"/>
        <v>EUROHERC OSIGURANJE D.D.</v>
      </c>
      <c r="E243" s="16">
        <v>42159</v>
      </c>
      <c r="F243" s="16">
        <v>42525</v>
      </c>
      <c r="G243" s="13">
        <v>8731.1200000000008</v>
      </c>
      <c r="H243" s="16">
        <v>42525</v>
      </c>
      <c r="I243" s="13">
        <v>8731.1200000000008</v>
      </c>
      <c r="J243" s="13">
        <f t="shared" si="7"/>
        <v>8731.1200000000008</v>
      </c>
      <c r="K243" s="6"/>
    </row>
    <row r="244" spans="1:11" ht="24" x14ac:dyDescent="0.25">
      <c r="A244" s="3">
        <v>229</v>
      </c>
      <c r="B244" s="14" t="s">
        <v>27</v>
      </c>
      <c r="C244" s="15" t="str">
        <f>"5/2013-MUP-166"</f>
        <v>5/2013-MUP-166</v>
      </c>
      <c r="D244" s="15" t="str">
        <f t="shared" si="6"/>
        <v>EUROHERC OSIGURANJE D.D.</v>
      </c>
      <c r="E244" s="16">
        <v>42159</v>
      </c>
      <c r="F244" s="16">
        <v>42525</v>
      </c>
      <c r="G244" s="13">
        <v>5789.23</v>
      </c>
      <c r="H244" s="16">
        <v>42525</v>
      </c>
      <c r="I244" s="13">
        <v>5789.23</v>
      </c>
      <c r="J244" s="13">
        <f t="shared" si="7"/>
        <v>5789.23</v>
      </c>
      <c r="K244" s="6"/>
    </row>
    <row r="245" spans="1:11" ht="24" x14ac:dyDescent="0.25">
      <c r="A245" s="3">
        <v>230</v>
      </c>
      <c r="B245" s="14" t="s">
        <v>27</v>
      </c>
      <c r="C245" s="15" t="str">
        <f>"5/2013-MUP-141"</f>
        <v>5/2013-MUP-141</v>
      </c>
      <c r="D245" s="15" t="str">
        <f t="shared" si="6"/>
        <v>EUROHERC OSIGURANJE D.D.</v>
      </c>
      <c r="E245" s="16">
        <v>42158</v>
      </c>
      <c r="F245" s="16">
        <v>42524</v>
      </c>
      <c r="G245" s="13">
        <v>9230.7099999999991</v>
      </c>
      <c r="H245" s="16">
        <v>42524</v>
      </c>
      <c r="I245" s="13">
        <v>9230.7099999999991</v>
      </c>
      <c r="J245" s="13">
        <f t="shared" si="7"/>
        <v>9230.7099999999991</v>
      </c>
      <c r="K245" s="6"/>
    </row>
    <row r="246" spans="1:11" ht="24" x14ac:dyDescent="0.25">
      <c r="A246" s="3">
        <v>231</v>
      </c>
      <c r="B246" s="14" t="s">
        <v>27</v>
      </c>
      <c r="C246" s="15" t="str">
        <f>"5/2013-MUP-140"</f>
        <v>5/2013-MUP-140</v>
      </c>
      <c r="D246" s="15" t="str">
        <f t="shared" si="6"/>
        <v>EUROHERC OSIGURANJE D.D.</v>
      </c>
      <c r="E246" s="16">
        <v>42157</v>
      </c>
      <c r="F246" s="16">
        <v>42523</v>
      </c>
      <c r="G246" s="13">
        <v>6185.24</v>
      </c>
      <c r="H246" s="16">
        <v>42523</v>
      </c>
      <c r="I246" s="13">
        <v>6185.24</v>
      </c>
      <c r="J246" s="13">
        <f t="shared" si="7"/>
        <v>6185.24</v>
      </c>
      <c r="K246" s="6"/>
    </row>
    <row r="247" spans="1:11" ht="24" x14ac:dyDescent="0.25">
      <c r="A247" s="3">
        <v>232</v>
      </c>
      <c r="B247" s="14" t="s">
        <v>27</v>
      </c>
      <c r="C247" s="15" t="str">
        <f>"5/2013-MUP-139"</f>
        <v>5/2013-MUP-139</v>
      </c>
      <c r="D247" s="15" t="str">
        <f t="shared" si="6"/>
        <v>EUROHERC OSIGURANJE D.D.</v>
      </c>
      <c r="E247" s="16">
        <v>42156</v>
      </c>
      <c r="F247" s="16">
        <v>42522</v>
      </c>
      <c r="G247" s="13">
        <v>6233.94</v>
      </c>
      <c r="H247" s="16">
        <v>42522</v>
      </c>
      <c r="I247" s="13">
        <v>6233.94</v>
      </c>
      <c r="J247" s="13">
        <f t="shared" si="7"/>
        <v>6233.94</v>
      </c>
      <c r="K247" s="6"/>
    </row>
    <row r="248" spans="1:11" ht="24" x14ac:dyDescent="0.25">
      <c r="A248" s="3">
        <v>233</v>
      </c>
      <c r="B248" s="14" t="s">
        <v>27</v>
      </c>
      <c r="C248" s="15" t="str">
        <f>"5/2013-MUP-138"</f>
        <v>5/2013-MUP-138</v>
      </c>
      <c r="D248" s="15" t="str">
        <f t="shared" si="6"/>
        <v>EUROHERC OSIGURANJE D.D.</v>
      </c>
      <c r="E248" s="16">
        <v>42155</v>
      </c>
      <c r="F248" s="16">
        <v>42521</v>
      </c>
      <c r="G248" s="13">
        <v>5827.35</v>
      </c>
      <c r="H248" s="16">
        <v>42521</v>
      </c>
      <c r="I248" s="13">
        <v>5827.35</v>
      </c>
      <c r="J248" s="13">
        <f t="shared" si="7"/>
        <v>5827.35</v>
      </c>
      <c r="K248" s="6"/>
    </row>
    <row r="249" spans="1:11" ht="24" x14ac:dyDescent="0.25">
      <c r="A249" s="3">
        <v>234</v>
      </c>
      <c r="B249" s="14" t="s">
        <v>27</v>
      </c>
      <c r="C249" s="15" t="str">
        <f>"5/2013-MUP-137"</f>
        <v>5/2013-MUP-137</v>
      </c>
      <c r="D249" s="15" t="str">
        <f t="shared" si="6"/>
        <v>EUROHERC OSIGURANJE D.D.</v>
      </c>
      <c r="E249" s="16">
        <v>42154</v>
      </c>
      <c r="F249" s="16">
        <v>42520</v>
      </c>
      <c r="G249" s="13">
        <v>462.88</v>
      </c>
      <c r="H249" s="16">
        <v>42520</v>
      </c>
      <c r="I249" s="13">
        <v>462.88</v>
      </c>
      <c r="J249" s="13">
        <f t="shared" si="7"/>
        <v>462.88</v>
      </c>
      <c r="K249" s="6"/>
    </row>
    <row r="250" spans="1:11" ht="24" x14ac:dyDescent="0.25">
      <c r="A250" s="3">
        <v>235</v>
      </c>
      <c r="B250" s="14" t="s">
        <v>27</v>
      </c>
      <c r="C250" s="15" t="str">
        <f>"5/2013-MUP-136"</f>
        <v>5/2013-MUP-136</v>
      </c>
      <c r="D250" s="15" t="str">
        <f t="shared" si="6"/>
        <v>EUROHERC OSIGURANJE D.D.</v>
      </c>
      <c r="E250" s="16">
        <v>42153</v>
      </c>
      <c r="F250" s="16">
        <v>42519</v>
      </c>
      <c r="G250" s="13">
        <v>1541.46</v>
      </c>
      <c r="H250" s="16">
        <v>42519</v>
      </c>
      <c r="I250" s="13">
        <v>1541.46</v>
      </c>
      <c r="J250" s="13">
        <f t="shared" si="7"/>
        <v>1541.46</v>
      </c>
      <c r="K250" s="6"/>
    </row>
    <row r="251" spans="1:11" ht="24" x14ac:dyDescent="0.25">
      <c r="A251" s="3">
        <v>236</v>
      </c>
      <c r="B251" s="14" t="s">
        <v>27</v>
      </c>
      <c r="C251" s="15" t="str">
        <f>"5/2013-MUP-135"</f>
        <v>5/2013-MUP-135</v>
      </c>
      <c r="D251" s="15" t="str">
        <f t="shared" si="6"/>
        <v>EUROHERC OSIGURANJE D.D.</v>
      </c>
      <c r="E251" s="16">
        <v>42152</v>
      </c>
      <c r="F251" s="16">
        <v>42518</v>
      </c>
      <c r="G251" s="13">
        <v>5134.18</v>
      </c>
      <c r="H251" s="16">
        <v>42518</v>
      </c>
      <c r="I251" s="13">
        <v>5134.18</v>
      </c>
      <c r="J251" s="13">
        <f t="shared" si="7"/>
        <v>5134.18</v>
      </c>
      <c r="K251" s="6"/>
    </row>
    <row r="252" spans="1:11" ht="24" x14ac:dyDescent="0.25">
      <c r="A252" s="3">
        <v>237</v>
      </c>
      <c r="B252" s="14" t="s">
        <v>27</v>
      </c>
      <c r="C252" s="15" t="str">
        <f>"5/2013-MUP-134"</f>
        <v>5/2013-MUP-134</v>
      </c>
      <c r="D252" s="15" t="str">
        <f t="shared" si="6"/>
        <v>EUROHERC OSIGURANJE D.D.</v>
      </c>
      <c r="E252" s="16">
        <v>42151</v>
      </c>
      <c r="F252" s="16">
        <v>42517</v>
      </c>
      <c r="G252" s="13">
        <v>22704.78</v>
      </c>
      <c r="H252" s="16">
        <v>42517</v>
      </c>
      <c r="I252" s="13">
        <v>22704.78</v>
      </c>
      <c r="J252" s="13">
        <f t="shared" si="7"/>
        <v>22704.78</v>
      </c>
      <c r="K252" s="6"/>
    </row>
    <row r="253" spans="1:11" ht="24" x14ac:dyDescent="0.25">
      <c r="A253" s="3">
        <v>238</v>
      </c>
      <c r="B253" s="14" t="s">
        <v>27</v>
      </c>
      <c r="C253" s="15" t="str">
        <f>"5/2013-MUP-133"</f>
        <v>5/2013-MUP-133</v>
      </c>
      <c r="D253" s="15" t="str">
        <f t="shared" si="6"/>
        <v>EUROHERC OSIGURANJE D.D.</v>
      </c>
      <c r="E253" s="16">
        <v>42150</v>
      </c>
      <c r="F253" s="16">
        <v>42516</v>
      </c>
      <c r="G253" s="13">
        <v>164704.87</v>
      </c>
      <c r="H253" s="16">
        <v>42516</v>
      </c>
      <c r="I253" s="13">
        <v>164704.87</v>
      </c>
      <c r="J253" s="13">
        <f t="shared" si="7"/>
        <v>164704.87</v>
      </c>
      <c r="K253" s="6"/>
    </row>
    <row r="254" spans="1:11" ht="24" x14ac:dyDescent="0.25">
      <c r="A254" s="3">
        <v>239</v>
      </c>
      <c r="B254" s="14" t="s">
        <v>27</v>
      </c>
      <c r="C254" s="15" t="str">
        <f>"5/2013-MUP-132"</f>
        <v>5/2013-MUP-132</v>
      </c>
      <c r="D254" s="15" t="str">
        <f t="shared" si="6"/>
        <v>EUROHERC OSIGURANJE D.D.</v>
      </c>
      <c r="E254" s="16">
        <v>42148</v>
      </c>
      <c r="F254" s="16">
        <v>42514</v>
      </c>
      <c r="G254" s="13">
        <v>9231.9</v>
      </c>
      <c r="H254" s="16">
        <v>42514</v>
      </c>
      <c r="I254" s="13">
        <v>9231.9</v>
      </c>
      <c r="J254" s="13">
        <f t="shared" si="7"/>
        <v>9231.9</v>
      </c>
      <c r="K254" s="6"/>
    </row>
    <row r="255" spans="1:11" ht="24" x14ac:dyDescent="0.25">
      <c r="A255" s="3">
        <v>240</v>
      </c>
      <c r="B255" s="14" t="s">
        <v>27</v>
      </c>
      <c r="C255" s="15" t="str">
        <f>"5/2013-MUP-131"</f>
        <v>5/2013-MUP-131</v>
      </c>
      <c r="D255" s="15" t="str">
        <f t="shared" si="6"/>
        <v>EUROHERC OSIGURANJE D.D.</v>
      </c>
      <c r="E255" s="16">
        <v>42147</v>
      </c>
      <c r="F255" s="16">
        <v>42513</v>
      </c>
      <c r="G255" s="13">
        <v>1846.76</v>
      </c>
      <c r="H255" s="16">
        <v>42513</v>
      </c>
      <c r="I255" s="13">
        <v>1846.76</v>
      </c>
      <c r="J255" s="13">
        <f t="shared" si="7"/>
        <v>1846.76</v>
      </c>
      <c r="K255" s="6"/>
    </row>
    <row r="256" spans="1:11" ht="24" x14ac:dyDescent="0.25">
      <c r="A256" s="3">
        <v>241</v>
      </c>
      <c r="B256" s="14" t="s">
        <v>27</v>
      </c>
      <c r="C256" s="15" t="str">
        <f>"5/2013-MUP-130"</f>
        <v>5/2013-MUP-130</v>
      </c>
      <c r="D256" s="15" t="str">
        <f t="shared" si="6"/>
        <v>EUROHERC OSIGURANJE D.D.</v>
      </c>
      <c r="E256" s="16">
        <v>42146</v>
      </c>
      <c r="F256" s="16">
        <v>42512</v>
      </c>
      <c r="G256" s="13">
        <v>161690.35999999999</v>
      </c>
      <c r="H256" s="16">
        <v>42512</v>
      </c>
      <c r="I256" s="13">
        <v>161690.35999999999</v>
      </c>
      <c r="J256" s="13">
        <f t="shared" si="7"/>
        <v>161690.35999999999</v>
      </c>
      <c r="K256" s="6"/>
    </row>
    <row r="257" spans="1:11" ht="24" x14ac:dyDescent="0.25">
      <c r="A257" s="3">
        <v>242</v>
      </c>
      <c r="B257" s="14" t="s">
        <v>54</v>
      </c>
      <c r="C257" s="15" t="str">
        <f>"08101916687"</f>
        <v>08101916687</v>
      </c>
      <c r="D257" s="15" t="str">
        <f t="shared" si="6"/>
        <v>EUROHERC OSIGURANJE D.D.</v>
      </c>
      <c r="E257" s="16">
        <v>42122</v>
      </c>
      <c r="F257" s="16">
        <v>42511</v>
      </c>
      <c r="G257" s="13">
        <v>1701.69</v>
      </c>
      <c r="H257" s="16">
        <v>42511</v>
      </c>
      <c r="I257" s="13">
        <v>1701.69</v>
      </c>
      <c r="J257" s="13">
        <f t="shared" si="7"/>
        <v>1701.69</v>
      </c>
      <c r="K257" s="6"/>
    </row>
    <row r="258" spans="1:11" ht="24" x14ac:dyDescent="0.25">
      <c r="A258" s="3">
        <v>243</v>
      </c>
      <c r="B258" s="14" t="s">
        <v>27</v>
      </c>
      <c r="C258" s="15" t="str">
        <f>"5/2013-MUP-129"</f>
        <v>5/2013-MUP-129</v>
      </c>
      <c r="D258" s="15" t="str">
        <f t="shared" si="6"/>
        <v>EUROHERC OSIGURANJE D.D.</v>
      </c>
      <c r="E258" s="16">
        <v>42145</v>
      </c>
      <c r="F258" s="16">
        <v>42511</v>
      </c>
      <c r="G258" s="13">
        <v>74678.38</v>
      </c>
      <c r="H258" s="16">
        <v>42511</v>
      </c>
      <c r="I258" s="13">
        <v>74678.38</v>
      </c>
      <c r="J258" s="13">
        <f t="shared" si="7"/>
        <v>74678.38</v>
      </c>
      <c r="K258" s="6"/>
    </row>
    <row r="259" spans="1:11" ht="24" x14ac:dyDescent="0.25">
      <c r="A259" s="3">
        <v>244</v>
      </c>
      <c r="B259" s="14" t="s">
        <v>27</v>
      </c>
      <c r="C259" s="15" t="str">
        <f>"5/2013-MUP-128"</f>
        <v>5/2013-MUP-128</v>
      </c>
      <c r="D259" s="15" t="str">
        <f t="shared" si="6"/>
        <v>EUROHERC OSIGURANJE D.D.</v>
      </c>
      <c r="E259" s="16">
        <v>42144</v>
      </c>
      <c r="F259" s="16">
        <v>42510</v>
      </c>
      <c r="G259" s="13">
        <v>125622.55</v>
      </c>
      <c r="H259" s="16">
        <v>42510</v>
      </c>
      <c r="I259" s="13">
        <v>125622.55</v>
      </c>
      <c r="J259" s="13">
        <f t="shared" si="7"/>
        <v>125622.55</v>
      </c>
      <c r="K259" s="6"/>
    </row>
    <row r="260" spans="1:11" ht="24" x14ac:dyDescent="0.25">
      <c r="A260" s="3">
        <v>245</v>
      </c>
      <c r="B260" s="14" t="s">
        <v>27</v>
      </c>
      <c r="C260" s="15" t="str">
        <f>"5/2013-MUP-127"</f>
        <v>5/2013-MUP-127</v>
      </c>
      <c r="D260" s="15" t="str">
        <f t="shared" si="6"/>
        <v>EUROHERC OSIGURANJE D.D.</v>
      </c>
      <c r="E260" s="16">
        <v>42143</v>
      </c>
      <c r="F260" s="16">
        <v>42509</v>
      </c>
      <c r="G260" s="13">
        <v>5639.74</v>
      </c>
      <c r="H260" s="16">
        <v>42509</v>
      </c>
      <c r="I260" s="13">
        <v>5639.74</v>
      </c>
      <c r="J260" s="13">
        <f t="shared" si="7"/>
        <v>5639.74</v>
      </c>
      <c r="K260" s="6"/>
    </row>
    <row r="261" spans="1:11" ht="24" x14ac:dyDescent="0.25">
      <c r="A261" s="3">
        <v>246</v>
      </c>
      <c r="B261" s="14" t="s">
        <v>27</v>
      </c>
      <c r="C261" s="15" t="str">
        <f>"5/2013-MUP-126"</f>
        <v>5/2013-MUP-126</v>
      </c>
      <c r="D261" s="15" t="str">
        <f t="shared" si="6"/>
        <v>EUROHERC OSIGURANJE D.D.</v>
      </c>
      <c r="E261" s="16">
        <v>42142</v>
      </c>
      <c r="F261" s="16">
        <v>42508</v>
      </c>
      <c r="G261" s="13">
        <v>6249.73</v>
      </c>
      <c r="H261" s="16">
        <v>42508</v>
      </c>
      <c r="I261" s="13">
        <v>6249.73</v>
      </c>
      <c r="J261" s="13">
        <f t="shared" si="7"/>
        <v>6249.73</v>
      </c>
      <c r="K261" s="6"/>
    </row>
    <row r="262" spans="1:11" ht="24" x14ac:dyDescent="0.25">
      <c r="A262" s="3">
        <v>247</v>
      </c>
      <c r="B262" s="14" t="s">
        <v>27</v>
      </c>
      <c r="C262" s="15" t="str">
        <f>"5/2013-MUP-125"</f>
        <v>5/2013-MUP-125</v>
      </c>
      <c r="D262" s="15" t="str">
        <f t="shared" si="6"/>
        <v>EUROHERC OSIGURANJE D.D.</v>
      </c>
      <c r="E262" s="16">
        <v>42141</v>
      </c>
      <c r="F262" s="16">
        <v>42507</v>
      </c>
      <c r="G262" s="13">
        <v>1023.25</v>
      </c>
      <c r="H262" s="16">
        <v>42507</v>
      </c>
      <c r="I262" s="13">
        <v>1023.25</v>
      </c>
      <c r="J262" s="13">
        <f t="shared" si="7"/>
        <v>1023.25</v>
      </c>
      <c r="K262" s="6"/>
    </row>
    <row r="263" spans="1:11" ht="24" x14ac:dyDescent="0.25">
      <c r="A263" s="3">
        <v>248</v>
      </c>
      <c r="B263" s="14" t="s">
        <v>27</v>
      </c>
      <c r="C263" s="15" t="str">
        <f>"5/2013-MUP-124"</f>
        <v>5/2013-MUP-124</v>
      </c>
      <c r="D263" s="15" t="str">
        <f t="shared" si="6"/>
        <v>EUROHERC OSIGURANJE D.D.</v>
      </c>
      <c r="E263" s="16">
        <v>42140</v>
      </c>
      <c r="F263" s="16">
        <v>42506</v>
      </c>
      <c r="G263" s="13">
        <v>8716.07</v>
      </c>
      <c r="H263" s="16">
        <v>42506</v>
      </c>
      <c r="I263" s="13">
        <v>8716.07</v>
      </c>
      <c r="J263" s="13">
        <f t="shared" si="7"/>
        <v>8716.07</v>
      </c>
      <c r="K263" s="6"/>
    </row>
    <row r="264" spans="1:11" ht="24" x14ac:dyDescent="0.25">
      <c r="A264" s="3">
        <v>249</v>
      </c>
      <c r="B264" s="14" t="s">
        <v>27</v>
      </c>
      <c r="C264" s="15" t="str">
        <f>"5/2013-MUP-123"</f>
        <v>5/2013-MUP-123</v>
      </c>
      <c r="D264" s="15" t="str">
        <f t="shared" si="6"/>
        <v>EUROHERC OSIGURANJE D.D.</v>
      </c>
      <c r="E264" s="16">
        <v>42140</v>
      </c>
      <c r="F264" s="16">
        <v>42506</v>
      </c>
      <c r="G264" s="13">
        <v>264.20999999999998</v>
      </c>
      <c r="H264" s="16">
        <v>42506</v>
      </c>
      <c r="I264" s="13">
        <v>264.20999999999998</v>
      </c>
      <c r="J264" s="13">
        <f t="shared" si="7"/>
        <v>264.20999999999998</v>
      </c>
      <c r="K264" s="6"/>
    </row>
    <row r="265" spans="1:11" ht="24" x14ac:dyDescent="0.25">
      <c r="A265" s="3">
        <v>250</v>
      </c>
      <c r="B265" s="14" t="s">
        <v>27</v>
      </c>
      <c r="C265" s="15" t="str">
        <f>"5/2013-MUP-122"</f>
        <v>5/2013-MUP-122</v>
      </c>
      <c r="D265" s="15" t="str">
        <f t="shared" si="6"/>
        <v>EUROHERC OSIGURANJE D.D.</v>
      </c>
      <c r="E265" s="16">
        <v>42138</v>
      </c>
      <c r="F265" s="16">
        <v>42504</v>
      </c>
      <c r="G265" s="13">
        <v>4593.1099999999997</v>
      </c>
      <c r="H265" s="16">
        <v>42504</v>
      </c>
      <c r="I265" s="13">
        <v>4593.1099999999997</v>
      </c>
      <c r="J265" s="13">
        <f t="shared" si="7"/>
        <v>4593.1099999999997</v>
      </c>
      <c r="K265" s="6"/>
    </row>
    <row r="266" spans="1:11" ht="24" x14ac:dyDescent="0.25">
      <c r="A266" s="3">
        <v>251</v>
      </c>
      <c r="B266" s="14" t="s">
        <v>27</v>
      </c>
      <c r="C266" s="15" t="str">
        <f>"5/2013-MUP-121"</f>
        <v>5/2013-MUP-121</v>
      </c>
      <c r="D266" s="15" t="str">
        <f t="shared" si="6"/>
        <v>EUROHERC OSIGURANJE D.D.</v>
      </c>
      <c r="E266" s="16">
        <v>42136</v>
      </c>
      <c r="F266" s="16">
        <v>42502</v>
      </c>
      <c r="G266" s="13">
        <v>67799.520000000004</v>
      </c>
      <c r="H266" s="16">
        <v>42502</v>
      </c>
      <c r="I266" s="13">
        <v>67799.520000000004</v>
      </c>
      <c r="J266" s="13">
        <f t="shared" si="7"/>
        <v>67799.520000000004</v>
      </c>
      <c r="K266" s="6"/>
    </row>
    <row r="267" spans="1:11" ht="24" x14ac:dyDescent="0.25">
      <c r="A267" s="3">
        <v>252</v>
      </c>
      <c r="B267" s="14" t="s">
        <v>27</v>
      </c>
      <c r="C267" s="15" t="str">
        <f>"5/2013-MUP-120"</f>
        <v>5/2013-MUP-120</v>
      </c>
      <c r="D267" s="15" t="str">
        <f t="shared" si="6"/>
        <v>EUROHERC OSIGURANJE D.D.</v>
      </c>
      <c r="E267" s="16">
        <v>42135</v>
      </c>
      <c r="F267" s="16">
        <v>42501</v>
      </c>
      <c r="G267" s="13">
        <v>7020.71</v>
      </c>
      <c r="H267" s="16">
        <v>42501</v>
      </c>
      <c r="I267" s="13">
        <v>7020.71</v>
      </c>
      <c r="J267" s="13">
        <f t="shared" si="7"/>
        <v>7020.71</v>
      </c>
      <c r="K267" s="6"/>
    </row>
    <row r="268" spans="1:11" ht="24" x14ac:dyDescent="0.25">
      <c r="A268" s="3">
        <v>253</v>
      </c>
      <c r="B268" s="14" t="s">
        <v>27</v>
      </c>
      <c r="C268" s="15" t="str">
        <f>"5/2013-MUP-230"</f>
        <v>5/2013-MUP-230</v>
      </c>
      <c r="D268" s="15" t="str">
        <f t="shared" si="6"/>
        <v>EUROHERC OSIGURANJE D.D.</v>
      </c>
      <c r="E268" s="16">
        <v>42135</v>
      </c>
      <c r="F268" s="16">
        <v>42501</v>
      </c>
      <c r="G268" s="13">
        <v>5072.97</v>
      </c>
      <c r="H268" s="16">
        <v>42501</v>
      </c>
      <c r="I268" s="13">
        <v>5072.97</v>
      </c>
      <c r="J268" s="13">
        <f t="shared" si="7"/>
        <v>5072.97</v>
      </c>
      <c r="K268" s="6"/>
    </row>
    <row r="269" spans="1:11" ht="24" x14ac:dyDescent="0.25">
      <c r="A269" s="3">
        <v>254</v>
      </c>
      <c r="B269" s="14" t="s">
        <v>27</v>
      </c>
      <c r="C269" s="15" t="str">
        <f>"5/2013-MUP-119"</f>
        <v>5/2013-MUP-119</v>
      </c>
      <c r="D269" s="15" t="str">
        <f t="shared" si="6"/>
        <v>EUROHERC OSIGURANJE D.D.</v>
      </c>
      <c r="E269" s="16">
        <v>42134</v>
      </c>
      <c r="F269" s="16">
        <v>42500</v>
      </c>
      <c r="G269" s="13">
        <v>12603.19</v>
      </c>
      <c r="H269" s="16">
        <v>42500</v>
      </c>
      <c r="I269" s="13">
        <v>12603.19</v>
      </c>
      <c r="J269" s="13">
        <f t="shared" si="7"/>
        <v>12603.19</v>
      </c>
      <c r="K269" s="6"/>
    </row>
    <row r="270" spans="1:11" ht="24" x14ac:dyDescent="0.25">
      <c r="A270" s="3">
        <v>255</v>
      </c>
      <c r="B270" s="14" t="s">
        <v>27</v>
      </c>
      <c r="C270" s="15" t="str">
        <f>"5/2013-MUP-118"</f>
        <v>5/2013-MUP-118</v>
      </c>
      <c r="D270" s="15" t="str">
        <f t="shared" si="6"/>
        <v>EUROHERC OSIGURANJE D.D.</v>
      </c>
      <c r="E270" s="16">
        <v>42133</v>
      </c>
      <c r="F270" s="16">
        <v>42499</v>
      </c>
      <c r="G270" s="13">
        <v>6299.1</v>
      </c>
      <c r="H270" s="16">
        <v>42499</v>
      </c>
      <c r="I270" s="13">
        <v>6299.1</v>
      </c>
      <c r="J270" s="13">
        <f t="shared" si="7"/>
        <v>6299.1</v>
      </c>
      <c r="K270" s="6"/>
    </row>
    <row r="271" spans="1:11" ht="24" x14ac:dyDescent="0.25">
      <c r="A271" s="3">
        <v>256</v>
      </c>
      <c r="B271" s="14" t="s">
        <v>27</v>
      </c>
      <c r="C271" s="15" t="str">
        <f>"5/2013-MUP-117"</f>
        <v>5/2013-MUP-117</v>
      </c>
      <c r="D271" s="15" t="str">
        <f t="shared" si="6"/>
        <v>EUROHERC OSIGURANJE D.D.</v>
      </c>
      <c r="E271" s="16">
        <v>42131</v>
      </c>
      <c r="F271" s="16">
        <v>42497</v>
      </c>
      <c r="G271" s="13">
        <v>235623.85</v>
      </c>
      <c r="H271" s="16">
        <v>42497</v>
      </c>
      <c r="I271" s="13">
        <v>235623.85</v>
      </c>
      <c r="J271" s="13">
        <f t="shared" si="7"/>
        <v>235623.85</v>
      </c>
      <c r="K271" s="6"/>
    </row>
    <row r="272" spans="1:11" ht="24" x14ac:dyDescent="0.25">
      <c r="A272" s="3">
        <v>257</v>
      </c>
      <c r="B272" s="14" t="s">
        <v>27</v>
      </c>
      <c r="C272" s="15" t="str">
        <f>"5/2013-MUP-116"</f>
        <v>5/2013-MUP-116</v>
      </c>
      <c r="D272" s="15" t="str">
        <f t="shared" ref="D272:D335" si="8">CONCATENATE("EUROHERC OSIGURANJE D.D.")</f>
        <v>EUROHERC OSIGURANJE D.D.</v>
      </c>
      <c r="E272" s="16">
        <v>42130</v>
      </c>
      <c r="F272" s="16">
        <v>42496</v>
      </c>
      <c r="G272" s="13">
        <v>4457.82</v>
      </c>
      <c r="H272" s="16">
        <v>42496</v>
      </c>
      <c r="I272" s="13">
        <v>4457.82</v>
      </c>
      <c r="J272" s="13">
        <f t="shared" si="7"/>
        <v>4457.82</v>
      </c>
      <c r="K272" s="6"/>
    </row>
    <row r="273" spans="1:11" ht="24" x14ac:dyDescent="0.25">
      <c r="A273" s="3">
        <v>258</v>
      </c>
      <c r="B273" s="14" t="s">
        <v>27</v>
      </c>
      <c r="C273" s="15" t="str">
        <f>"5/2013-MUP-115"</f>
        <v>5/2013-MUP-115</v>
      </c>
      <c r="D273" s="15" t="str">
        <f t="shared" si="8"/>
        <v>EUROHERC OSIGURANJE D.D.</v>
      </c>
      <c r="E273" s="16">
        <v>42129</v>
      </c>
      <c r="F273" s="16">
        <v>42495</v>
      </c>
      <c r="G273" s="13">
        <v>74872.59</v>
      </c>
      <c r="H273" s="16">
        <v>42495</v>
      </c>
      <c r="I273" s="13">
        <v>74872.59</v>
      </c>
      <c r="J273" s="13">
        <f t="shared" ref="J273:J336" si="9">I273</f>
        <v>74872.59</v>
      </c>
      <c r="K273" s="6"/>
    </row>
    <row r="274" spans="1:11" ht="24" x14ac:dyDescent="0.25">
      <c r="A274" s="3">
        <v>259</v>
      </c>
      <c r="B274" s="14" t="s">
        <v>27</v>
      </c>
      <c r="C274" s="15" t="str">
        <f>"5/2013-MUP-114"</f>
        <v>5/2013-MUP-114</v>
      </c>
      <c r="D274" s="15" t="str">
        <f t="shared" si="8"/>
        <v>EUROHERC OSIGURANJE D.D.</v>
      </c>
      <c r="E274" s="16">
        <v>42128</v>
      </c>
      <c r="F274" s="16">
        <v>42494</v>
      </c>
      <c r="G274" s="13">
        <v>84836.91</v>
      </c>
      <c r="H274" s="16">
        <v>42494</v>
      </c>
      <c r="I274" s="13">
        <v>84836.91</v>
      </c>
      <c r="J274" s="13">
        <f t="shared" si="9"/>
        <v>84836.91</v>
      </c>
      <c r="K274" s="6"/>
    </row>
    <row r="275" spans="1:11" ht="24" x14ac:dyDescent="0.25">
      <c r="A275" s="3">
        <v>260</v>
      </c>
      <c r="B275" s="14" t="s">
        <v>27</v>
      </c>
      <c r="C275" s="15" t="str">
        <f>"5/2013-MUP-113"</f>
        <v>5/2013-MUP-113</v>
      </c>
      <c r="D275" s="15" t="str">
        <f t="shared" si="8"/>
        <v>EUROHERC OSIGURANJE D.D.</v>
      </c>
      <c r="E275" s="16">
        <v>42127</v>
      </c>
      <c r="F275" s="16">
        <v>42493</v>
      </c>
      <c r="G275" s="13">
        <v>6327</v>
      </c>
      <c r="H275" s="16">
        <v>42493</v>
      </c>
      <c r="I275" s="13">
        <v>6327</v>
      </c>
      <c r="J275" s="13">
        <f t="shared" si="9"/>
        <v>6327</v>
      </c>
      <c r="K275" s="6"/>
    </row>
    <row r="276" spans="1:11" ht="24" x14ac:dyDescent="0.25">
      <c r="A276" s="3">
        <v>261</v>
      </c>
      <c r="B276" s="14" t="s">
        <v>27</v>
      </c>
      <c r="C276" s="15" t="str">
        <f>"5/2013-MUP-112"</f>
        <v>5/2013-MUP-112</v>
      </c>
      <c r="D276" s="15" t="str">
        <f t="shared" si="8"/>
        <v>EUROHERC OSIGURANJE D.D.</v>
      </c>
      <c r="E276" s="16">
        <v>42126</v>
      </c>
      <c r="F276" s="16">
        <v>42492</v>
      </c>
      <c r="G276" s="13">
        <v>31960.1</v>
      </c>
      <c r="H276" s="16">
        <v>42492</v>
      </c>
      <c r="I276" s="13">
        <v>31960.1</v>
      </c>
      <c r="J276" s="13">
        <f t="shared" si="9"/>
        <v>31960.1</v>
      </c>
      <c r="K276" s="6"/>
    </row>
    <row r="277" spans="1:11" ht="24" x14ac:dyDescent="0.25">
      <c r="A277" s="3">
        <v>262</v>
      </c>
      <c r="B277" s="14" t="s">
        <v>27</v>
      </c>
      <c r="C277" s="15" t="str">
        <f>"5/2013-MUP-111"</f>
        <v>5/2013-MUP-111</v>
      </c>
      <c r="D277" s="15" t="str">
        <f t="shared" si="8"/>
        <v>EUROHERC OSIGURANJE D.D.</v>
      </c>
      <c r="E277" s="16">
        <v>42124</v>
      </c>
      <c r="F277" s="16">
        <v>42490</v>
      </c>
      <c r="G277" s="13">
        <v>14995.76</v>
      </c>
      <c r="H277" s="16">
        <v>42490</v>
      </c>
      <c r="I277" s="13">
        <v>14995.76</v>
      </c>
      <c r="J277" s="13">
        <f t="shared" si="9"/>
        <v>14995.76</v>
      </c>
      <c r="K277" s="6"/>
    </row>
    <row r="278" spans="1:11" ht="24" x14ac:dyDescent="0.25">
      <c r="A278" s="3">
        <v>263</v>
      </c>
      <c r="B278" s="14" t="s">
        <v>27</v>
      </c>
      <c r="C278" s="15" t="str">
        <f>"5/2013-MUP-110"</f>
        <v>5/2013-MUP-110</v>
      </c>
      <c r="D278" s="15" t="str">
        <f t="shared" si="8"/>
        <v>EUROHERC OSIGURANJE D.D.</v>
      </c>
      <c r="E278" s="16">
        <v>42123</v>
      </c>
      <c r="F278" s="16">
        <v>42489</v>
      </c>
      <c r="G278" s="13">
        <v>51045.84</v>
      </c>
      <c r="H278" s="16">
        <v>42489</v>
      </c>
      <c r="I278" s="13">
        <v>51045.84</v>
      </c>
      <c r="J278" s="13">
        <f t="shared" si="9"/>
        <v>51045.84</v>
      </c>
      <c r="K278" s="6"/>
    </row>
    <row r="279" spans="1:11" ht="24" x14ac:dyDescent="0.25">
      <c r="A279" s="3">
        <v>264</v>
      </c>
      <c r="B279" s="14" t="s">
        <v>27</v>
      </c>
      <c r="C279" s="15" t="str">
        <f>"5/2013-MUP-109"</f>
        <v>5/2013-MUP-109</v>
      </c>
      <c r="D279" s="15" t="str">
        <f t="shared" si="8"/>
        <v>EUROHERC OSIGURANJE D.D.</v>
      </c>
      <c r="E279" s="16">
        <v>42122</v>
      </c>
      <c r="F279" s="16">
        <v>42488</v>
      </c>
      <c r="G279" s="13">
        <v>5568.44</v>
      </c>
      <c r="H279" s="16">
        <v>42488</v>
      </c>
      <c r="I279" s="13">
        <v>5568.44</v>
      </c>
      <c r="J279" s="13">
        <f t="shared" si="9"/>
        <v>5568.44</v>
      </c>
      <c r="K279" s="6"/>
    </row>
    <row r="280" spans="1:11" ht="24" x14ac:dyDescent="0.25">
      <c r="A280" s="3">
        <v>265</v>
      </c>
      <c r="B280" s="14" t="s">
        <v>27</v>
      </c>
      <c r="C280" s="15" t="str">
        <f>"5/2013-MUP-108"</f>
        <v>5/2013-MUP-108</v>
      </c>
      <c r="D280" s="15" t="str">
        <f t="shared" si="8"/>
        <v>EUROHERC OSIGURANJE D.D.</v>
      </c>
      <c r="E280" s="16">
        <v>42121</v>
      </c>
      <c r="F280" s="16">
        <v>42487</v>
      </c>
      <c r="G280" s="13">
        <v>41296.42</v>
      </c>
      <c r="H280" s="16">
        <v>42487</v>
      </c>
      <c r="I280" s="13">
        <v>41296.42</v>
      </c>
      <c r="J280" s="13">
        <f t="shared" si="9"/>
        <v>41296.42</v>
      </c>
      <c r="K280" s="6"/>
    </row>
    <row r="281" spans="1:11" ht="24" x14ac:dyDescent="0.25">
      <c r="A281" s="3">
        <v>266</v>
      </c>
      <c r="B281" s="14" t="s">
        <v>27</v>
      </c>
      <c r="C281" s="15" t="str">
        <f>"5/2013-MUP-107"</f>
        <v>5/2013-MUP-107</v>
      </c>
      <c r="D281" s="15" t="str">
        <f t="shared" si="8"/>
        <v>EUROHERC OSIGURANJE D.D.</v>
      </c>
      <c r="E281" s="16">
        <v>42120</v>
      </c>
      <c r="F281" s="16">
        <v>42486</v>
      </c>
      <c r="G281" s="13">
        <v>1449.04</v>
      </c>
      <c r="H281" s="16">
        <v>42486</v>
      </c>
      <c r="I281" s="13">
        <v>1449.04</v>
      </c>
      <c r="J281" s="13">
        <f t="shared" si="9"/>
        <v>1449.04</v>
      </c>
      <c r="K281" s="6"/>
    </row>
    <row r="282" spans="1:11" ht="24" x14ac:dyDescent="0.25">
      <c r="A282" s="3">
        <v>267</v>
      </c>
      <c r="B282" s="14" t="s">
        <v>27</v>
      </c>
      <c r="C282" s="15" t="str">
        <f>"5/2013-MUP-106"</f>
        <v>5/2013-MUP-106</v>
      </c>
      <c r="D282" s="15" t="str">
        <f t="shared" si="8"/>
        <v>EUROHERC OSIGURANJE D.D.</v>
      </c>
      <c r="E282" s="16">
        <v>42119</v>
      </c>
      <c r="F282" s="16">
        <v>42485</v>
      </c>
      <c r="G282" s="13">
        <v>4657.1000000000004</v>
      </c>
      <c r="H282" s="16">
        <v>42485</v>
      </c>
      <c r="I282" s="13">
        <v>4657.1000000000004</v>
      </c>
      <c r="J282" s="13">
        <f t="shared" si="9"/>
        <v>4657.1000000000004</v>
      </c>
      <c r="K282" s="6"/>
    </row>
    <row r="283" spans="1:11" ht="24" x14ac:dyDescent="0.25">
      <c r="A283" s="3">
        <v>268</v>
      </c>
      <c r="B283" s="14" t="s">
        <v>27</v>
      </c>
      <c r="C283" s="15" t="str">
        <f>"5/2013-MUP-105"</f>
        <v>5/2013-MUP-105</v>
      </c>
      <c r="D283" s="15" t="str">
        <f t="shared" si="8"/>
        <v>EUROHERC OSIGURANJE D.D.</v>
      </c>
      <c r="E283" s="16">
        <v>42118</v>
      </c>
      <c r="F283" s="16">
        <v>42484</v>
      </c>
      <c r="G283" s="13">
        <v>185720.81</v>
      </c>
      <c r="H283" s="16">
        <v>42484</v>
      </c>
      <c r="I283" s="13">
        <v>185720.81</v>
      </c>
      <c r="J283" s="13">
        <f t="shared" si="9"/>
        <v>185720.81</v>
      </c>
      <c r="K283" s="6"/>
    </row>
    <row r="284" spans="1:11" ht="24" x14ac:dyDescent="0.25">
      <c r="A284" s="3">
        <v>269</v>
      </c>
      <c r="B284" s="14" t="s">
        <v>27</v>
      </c>
      <c r="C284" s="15" t="str">
        <f>"5/2013-MUP-104"</f>
        <v>5/2013-MUP-104</v>
      </c>
      <c r="D284" s="15" t="str">
        <f t="shared" si="8"/>
        <v>EUROHERC OSIGURANJE D.D.</v>
      </c>
      <c r="E284" s="16">
        <v>42117</v>
      </c>
      <c r="F284" s="16">
        <v>42483</v>
      </c>
      <c r="G284" s="13">
        <v>3588.92</v>
      </c>
      <c r="H284" s="16">
        <v>42483</v>
      </c>
      <c r="I284" s="13">
        <v>3588.92</v>
      </c>
      <c r="J284" s="13">
        <f t="shared" si="9"/>
        <v>3588.92</v>
      </c>
      <c r="K284" s="6"/>
    </row>
    <row r="285" spans="1:11" ht="24" x14ac:dyDescent="0.25">
      <c r="A285" s="3">
        <v>270</v>
      </c>
      <c r="B285" s="14" t="s">
        <v>27</v>
      </c>
      <c r="C285" s="15" t="str">
        <f>"5/2013-MUP-103"</f>
        <v>5/2013-MUP-103</v>
      </c>
      <c r="D285" s="15" t="str">
        <f t="shared" si="8"/>
        <v>EUROHERC OSIGURANJE D.D.</v>
      </c>
      <c r="E285" s="16">
        <v>42114</v>
      </c>
      <c r="F285" s="16">
        <v>42480</v>
      </c>
      <c r="G285" s="13">
        <v>2107.0100000000002</v>
      </c>
      <c r="H285" s="16">
        <v>42480</v>
      </c>
      <c r="I285" s="13">
        <v>2107.0100000000002</v>
      </c>
      <c r="J285" s="13">
        <f t="shared" si="9"/>
        <v>2107.0100000000002</v>
      </c>
      <c r="K285" s="6"/>
    </row>
    <row r="286" spans="1:11" ht="24" x14ac:dyDescent="0.25">
      <c r="A286" s="3">
        <v>271</v>
      </c>
      <c r="B286" s="14" t="s">
        <v>27</v>
      </c>
      <c r="C286" s="15" t="str">
        <f>"5/2013-MUP-102"</f>
        <v>5/2013-MUP-102</v>
      </c>
      <c r="D286" s="15" t="str">
        <f t="shared" si="8"/>
        <v>EUROHERC OSIGURANJE D.D.</v>
      </c>
      <c r="E286" s="16">
        <v>42112</v>
      </c>
      <c r="F286" s="16">
        <v>42478</v>
      </c>
      <c r="G286" s="13">
        <v>31514.68</v>
      </c>
      <c r="H286" s="16">
        <v>42478</v>
      </c>
      <c r="I286" s="13">
        <v>31514.68</v>
      </c>
      <c r="J286" s="13">
        <f t="shared" si="9"/>
        <v>31514.68</v>
      </c>
      <c r="K286" s="6"/>
    </row>
    <row r="287" spans="1:11" ht="24" x14ac:dyDescent="0.25">
      <c r="A287" s="3">
        <v>272</v>
      </c>
      <c r="B287" s="14" t="s">
        <v>27</v>
      </c>
      <c r="C287" s="15" t="str">
        <f>"5/2013-MUP-101"</f>
        <v>5/2013-MUP-101</v>
      </c>
      <c r="D287" s="15" t="str">
        <f t="shared" si="8"/>
        <v>EUROHERC OSIGURANJE D.D.</v>
      </c>
      <c r="E287" s="16">
        <v>42110</v>
      </c>
      <c r="F287" s="16">
        <v>42476</v>
      </c>
      <c r="G287" s="13">
        <v>8976.06</v>
      </c>
      <c r="H287" s="16">
        <v>42476</v>
      </c>
      <c r="I287" s="13">
        <v>8976.06</v>
      </c>
      <c r="J287" s="13">
        <f t="shared" si="9"/>
        <v>8976.06</v>
      </c>
      <c r="K287" s="6"/>
    </row>
    <row r="288" spans="1:11" ht="24" x14ac:dyDescent="0.25">
      <c r="A288" s="3">
        <v>273</v>
      </c>
      <c r="B288" s="14" t="s">
        <v>61</v>
      </c>
      <c r="C288" s="15" t="str">
        <f>"5/2013-DZM-20"</f>
        <v>5/2013-DZM-20</v>
      </c>
      <c r="D288" s="15" t="str">
        <f t="shared" si="8"/>
        <v>EUROHERC OSIGURANJE D.D.</v>
      </c>
      <c r="E288" s="16">
        <v>42109</v>
      </c>
      <c r="F288" s="16">
        <v>42475</v>
      </c>
      <c r="G288" s="13">
        <v>2222.7800000000002</v>
      </c>
      <c r="H288" s="16">
        <v>42475</v>
      </c>
      <c r="I288" s="13">
        <v>2222.7800000000002</v>
      </c>
      <c r="J288" s="13">
        <f t="shared" si="9"/>
        <v>2222.7800000000002</v>
      </c>
      <c r="K288" s="6"/>
    </row>
    <row r="289" spans="1:11" ht="24" x14ac:dyDescent="0.25">
      <c r="A289" s="3">
        <v>274</v>
      </c>
      <c r="B289" s="14" t="s">
        <v>27</v>
      </c>
      <c r="C289" s="15" t="str">
        <f>"5/2013-MUP-100"</f>
        <v>5/2013-MUP-100</v>
      </c>
      <c r="D289" s="15" t="str">
        <f t="shared" si="8"/>
        <v>EUROHERC OSIGURANJE D.D.</v>
      </c>
      <c r="E289" s="16">
        <v>42109</v>
      </c>
      <c r="F289" s="16">
        <v>42475</v>
      </c>
      <c r="G289" s="13">
        <v>118673.94</v>
      </c>
      <c r="H289" s="16">
        <v>42475</v>
      </c>
      <c r="I289" s="13">
        <v>118673.94</v>
      </c>
      <c r="J289" s="13">
        <f t="shared" si="9"/>
        <v>118673.94</v>
      </c>
      <c r="K289" s="6"/>
    </row>
    <row r="290" spans="1:11" ht="24" x14ac:dyDescent="0.25">
      <c r="A290" s="3">
        <v>275</v>
      </c>
      <c r="B290" s="14" t="s">
        <v>27</v>
      </c>
      <c r="C290" s="15" t="str">
        <f>"5/2013-MUP-99"</f>
        <v>5/2013-MUP-99</v>
      </c>
      <c r="D290" s="15" t="str">
        <f t="shared" si="8"/>
        <v>EUROHERC OSIGURANJE D.D.</v>
      </c>
      <c r="E290" s="16">
        <v>42108</v>
      </c>
      <c r="F290" s="16">
        <v>42474</v>
      </c>
      <c r="G290" s="13">
        <v>15373.73</v>
      </c>
      <c r="H290" s="16">
        <v>42474</v>
      </c>
      <c r="I290" s="13">
        <v>15373.73</v>
      </c>
      <c r="J290" s="13">
        <f t="shared" si="9"/>
        <v>15373.73</v>
      </c>
      <c r="K290" s="6"/>
    </row>
    <row r="291" spans="1:11" ht="24" x14ac:dyDescent="0.25">
      <c r="A291" s="3">
        <v>276</v>
      </c>
      <c r="B291" s="14" t="s">
        <v>27</v>
      </c>
      <c r="C291" s="15" t="str">
        <f>"5/2013-MUP-98"</f>
        <v>5/2013-MUP-98</v>
      </c>
      <c r="D291" s="15" t="str">
        <f t="shared" si="8"/>
        <v>EUROHERC OSIGURANJE D.D.</v>
      </c>
      <c r="E291" s="16">
        <v>42107</v>
      </c>
      <c r="F291" s="16">
        <v>42473</v>
      </c>
      <c r="G291" s="13">
        <v>20475.650000000001</v>
      </c>
      <c r="H291" s="16">
        <v>42473</v>
      </c>
      <c r="I291" s="13">
        <v>20475.650000000001</v>
      </c>
      <c r="J291" s="13">
        <f t="shared" si="9"/>
        <v>20475.650000000001</v>
      </c>
      <c r="K291" s="6"/>
    </row>
    <row r="292" spans="1:11" ht="24" x14ac:dyDescent="0.25">
      <c r="A292" s="3">
        <v>277</v>
      </c>
      <c r="B292" s="14" t="s">
        <v>27</v>
      </c>
      <c r="C292" s="15" t="str">
        <f>"5/2013-MUP-97"</f>
        <v>5/2013-MUP-97</v>
      </c>
      <c r="D292" s="15" t="str">
        <f t="shared" si="8"/>
        <v>EUROHERC OSIGURANJE D.D.</v>
      </c>
      <c r="E292" s="16">
        <v>42106</v>
      </c>
      <c r="F292" s="16">
        <v>42472</v>
      </c>
      <c r="G292" s="13">
        <v>3536.95</v>
      </c>
      <c r="H292" s="16">
        <v>42472</v>
      </c>
      <c r="I292" s="13">
        <v>3536.95</v>
      </c>
      <c r="J292" s="13">
        <f t="shared" si="9"/>
        <v>3536.95</v>
      </c>
      <c r="K292" s="6"/>
    </row>
    <row r="293" spans="1:11" ht="24" x14ac:dyDescent="0.25">
      <c r="A293" s="3">
        <v>278</v>
      </c>
      <c r="B293" s="14" t="s">
        <v>27</v>
      </c>
      <c r="C293" s="15" t="str">
        <f>"5/2013-MUP-96"</f>
        <v>5/2013-MUP-96</v>
      </c>
      <c r="D293" s="15" t="str">
        <f t="shared" si="8"/>
        <v>EUROHERC OSIGURANJE D.D.</v>
      </c>
      <c r="E293" s="16">
        <v>42105</v>
      </c>
      <c r="F293" s="16">
        <v>42471</v>
      </c>
      <c r="G293" s="13">
        <v>3280.88</v>
      </c>
      <c r="H293" s="16">
        <v>42471</v>
      </c>
      <c r="I293" s="13">
        <v>3280.88</v>
      </c>
      <c r="J293" s="13">
        <f t="shared" si="9"/>
        <v>3280.88</v>
      </c>
      <c r="K293" s="6"/>
    </row>
    <row r="294" spans="1:11" ht="24" x14ac:dyDescent="0.25">
      <c r="A294" s="3">
        <v>279</v>
      </c>
      <c r="B294" s="14" t="s">
        <v>27</v>
      </c>
      <c r="C294" s="15" t="str">
        <f>"5/2013-MUP-95"</f>
        <v>5/2013-MUP-95</v>
      </c>
      <c r="D294" s="15" t="str">
        <f t="shared" si="8"/>
        <v>EUROHERC OSIGURANJE D.D.</v>
      </c>
      <c r="E294" s="16">
        <v>42104</v>
      </c>
      <c r="F294" s="16">
        <v>42470</v>
      </c>
      <c r="G294" s="13">
        <v>3871.72</v>
      </c>
      <c r="H294" s="16">
        <v>42470</v>
      </c>
      <c r="I294" s="13">
        <v>3871.72</v>
      </c>
      <c r="J294" s="13">
        <f t="shared" si="9"/>
        <v>3871.72</v>
      </c>
      <c r="K294" s="6"/>
    </row>
    <row r="295" spans="1:11" ht="24" x14ac:dyDescent="0.25">
      <c r="A295" s="3">
        <v>280</v>
      </c>
      <c r="B295" s="14" t="s">
        <v>27</v>
      </c>
      <c r="C295" s="15" t="str">
        <f>"5/2013-MUP-94"</f>
        <v>5/2013-MUP-94</v>
      </c>
      <c r="D295" s="15" t="str">
        <f t="shared" si="8"/>
        <v>EUROHERC OSIGURANJE D.D.</v>
      </c>
      <c r="E295" s="16">
        <v>42103</v>
      </c>
      <c r="F295" s="16">
        <v>42469</v>
      </c>
      <c r="G295" s="13">
        <v>274462.82</v>
      </c>
      <c r="H295" s="16">
        <v>42469</v>
      </c>
      <c r="I295" s="13">
        <v>274462.82</v>
      </c>
      <c r="J295" s="13">
        <f t="shared" si="9"/>
        <v>274462.82</v>
      </c>
      <c r="K295" s="6"/>
    </row>
    <row r="296" spans="1:11" ht="24" x14ac:dyDescent="0.25">
      <c r="A296" s="3">
        <v>281</v>
      </c>
      <c r="B296" s="14" t="s">
        <v>27</v>
      </c>
      <c r="C296" s="15" t="str">
        <f>"5/2013-MUP-93"</f>
        <v>5/2013-MUP-93</v>
      </c>
      <c r="D296" s="15" t="str">
        <f t="shared" si="8"/>
        <v>EUROHERC OSIGURANJE D.D.</v>
      </c>
      <c r="E296" s="16">
        <v>42102</v>
      </c>
      <c r="F296" s="16">
        <v>42468</v>
      </c>
      <c r="G296" s="13">
        <v>6131.62</v>
      </c>
      <c r="H296" s="16">
        <v>42468</v>
      </c>
      <c r="I296" s="13">
        <v>6131.62</v>
      </c>
      <c r="J296" s="13">
        <f t="shared" si="9"/>
        <v>6131.62</v>
      </c>
      <c r="K296" s="6"/>
    </row>
    <row r="297" spans="1:11" ht="24" x14ac:dyDescent="0.25">
      <c r="A297" s="3">
        <v>282</v>
      </c>
      <c r="B297" s="14" t="s">
        <v>27</v>
      </c>
      <c r="C297" s="15" t="str">
        <f>"5/2013-MUP-92"</f>
        <v>5/2013-MUP-92</v>
      </c>
      <c r="D297" s="15" t="str">
        <f t="shared" si="8"/>
        <v>EUROHERC OSIGURANJE D.D.</v>
      </c>
      <c r="E297" s="16">
        <v>42101</v>
      </c>
      <c r="F297" s="16">
        <v>42467</v>
      </c>
      <c r="G297" s="13">
        <v>3680.93</v>
      </c>
      <c r="H297" s="16">
        <v>42467</v>
      </c>
      <c r="I297" s="13">
        <v>3680.93</v>
      </c>
      <c r="J297" s="13">
        <f t="shared" si="9"/>
        <v>3680.93</v>
      </c>
      <c r="K297" s="6"/>
    </row>
    <row r="298" spans="1:11" ht="24" x14ac:dyDescent="0.25">
      <c r="A298" s="3">
        <v>283</v>
      </c>
      <c r="B298" s="14" t="s">
        <v>54</v>
      </c>
      <c r="C298" s="15" t="str">
        <f>"08101836021"</f>
        <v>08101836021</v>
      </c>
      <c r="D298" s="15" t="str">
        <f t="shared" si="8"/>
        <v>EUROHERC OSIGURANJE D.D.</v>
      </c>
      <c r="E298" s="16">
        <v>42080</v>
      </c>
      <c r="F298" s="16">
        <v>42467</v>
      </c>
      <c r="G298" s="13">
        <v>2990.77</v>
      </c>
      <c r="H298" s="16">
        <v>42467</v>
      </c>
      <c r="I298" s="13">
        <v>2990.77</v>
      </c>
      <c r="J298" s="13">
        <f t="shared" si="9"/>
        <v>2990.77</v>
      </c>
      <c r="K298" s="6"/>
    </row>
    <row r="299" spans="1:11" ht="24" x14ac:dyDescent="0.25">
      <c r="A299" s="3">
        <v>284</v>
      </c>
      <c r="B299" s="14" t="s">
        <v>61</v>
      </c>
      <c r="C299" s="15" t="str">
        <f>"5/2013-DZM-19"</f>
        <v>5/2013-DZM-19</v>
      </c>
      <c r="D299" s="15" t="str">
        <f t="shared" si="8"/>
        <v>EUROHERC OSIGURANJE D.D.</v>
      </c>
      <c r="E299" s="16">
        <v>42100</v>
      </c>
      <c r="F299" s="16">
        <v>42466</v>
      </c>
      <c r="G299" s="13">
        <v>1648.53</v>
      </c>
      <c r="H299" s="16">
        <v>42466</v>
      </c>
      <c r="I299" s="13">
        <v>1648.53</v>
      </c>
      <c r="J299" s="13">
        <f t="shared" si="9"/>
        <v>1648.53</v>
      </c>
      <c r="K299" s="6"/>
    </row>
    <row r="300" spans="1:11" ht="24" x14ac:dyDescent="0.25">
      <c r="A300" s="3">
        <v>285</v>
      </c>
      <c r="B300" s="14" t="s">
        <v>27</v>
      </c>
      <c r="C300" s="15" t="str">
        <f>"5/2013-MUP-91"</f>
        <v>5/2013-MUP-91</v>
      </c>
      <c r="D300" s="15" t="str">
        <f t="shared" si="8"/>
        <v>EUROHERC OSIGURANJE D.D.</v>
      </c>
      <c r="E300" s="16">
        <v>42100</v>
      </c>
      <c r="F300" s="16">
        <v>42466</v>
      </c>
      <c r="G300" s="13">
        <v>29647.98</v>
      </c>
      <c r="H300" s="16">
        <v>42466</v>
      </c>
      <c r="I300" s="13">
        <v>29647.98</v>
      </c>
      <c r="J300" s="13">
        <f t="shared" si="9"/>
        <v>29647.98</v>
      </c>
      <c r="K300" s="6"/>
    </row>
    <row r="301" spans="1:11" ht="24" x14ac:dyDescent="0.25">
      <c r="A301" s="3">
        <v>286</v>
      </c>
      <c r="B301" s="14" t="s">
        <v>54</v>
      </c>
      <c r="C301" s="15" t="str">
        <f>"831171795"</f>
        <v>831171795</v>
      </c>
      <c r="D301" s="15" t="str">
        <f t="shared" si="8"/>
        <v>EUROHERC OSIGURANJE D.D.</v>
      </c>
      <c r="E301" s="16">
        <v>42116</v>
      </c>
      <c r="F301" s="16">
        <v>42465</v>
      </c>
      <c r="G301" s="13">
        <v>17.28</v>
      </c>
      <c r="H301" s="16">
        <v>42465</v>
      </c>
      <c r="I301" s="13">
        <v>17.28</v>
      </c>
      <c r="J301" s="13">
        <f t="shared" si="9"/>
        <v>17.28</v>
      </c>
      <c r="K301" s="6"/>
    </row>
    <row r="302" spans="1:11" ht="24" x14ac:dyDescent="0.25">
      <c r="A302" s="3">
        <v>287</v>
      </c>
      <c r="B302" s="14" t="s">
        <v>27</v>
      </c>
      <c r="C302" s="15" t="str">
        <f>"5/2013-MUP-90"</f>
        <v>5/2013-MUP-90</v>
      </c>
      <c r="D302" s="15" t="str">
        <f t="shared" si="8"/>
        <v>EUROHERC OSIGURANJE D.D.</v>
      </c>
      <c r="E302" s="16">
        <v>42099</v>
      </c>
      <c r="F302" s="16">
        <v>42465</v>
      </c>
      <c r="G302" s="13">
        <v>57312.75</v>
      </c>
      <c r="H302" s="16">
        <v>42465</v>
      </c>
      <c r="I302" s="13">
        <v>57312.75</v>
      </c>
      <c r="J302" s="13">
        <f t="shared" si="9"/>
        <v>57312.75</v>
      </c>
      <c r="K302" s="6"/>
    </row>
    <row r="303" spans="1:11" ht="24" x14ac:dyDescent="0.25">
      <c r="A303" s="3">
        <v>288</v>
      </c>
      <c r="B303" s="14" t="s">
        <v>61</v>
      </c>
      <c r="C303" s="15" t="str">
        <f>"5/2013-DZM-18"</f>
        <v>5/2013-DZM-18</v>
      </c>
      <c r="D303" s="15" t="str">
        <f t="shared" si="8"/>
        <v>EUROHERC OSIGURANJE D.D.</v>
      </c>
      <c r="E303" s="16">
        <v>42098</v>
      </c>
      <c r="F303" s="16">
        <v>42464</v>
      </c>
      <c r="G303" s="13">
        <v>2868.12</v>
      </c>
      <c r="H303" s="16">
        <v>42464</v>
      </c>
      <c r="I303" s="13">
        <v>2868.12</v>
      </c>
      <c r="J303" s="13">
        <f t="shared" si="9"/>
        <v>2868.12</v>
      </c>
      <c r="K303" s="6"/>
    </row>
    <row r="304" spans="1:11" ht="24" x14ac:dyDescent="0.25">
      <c r="A304" s="3">
        <v>289</v>
      </c>
      <c r="B304" s="14" t="s">
        <v>27</v>
      </c>
      <c r="C304" s="15" t="str">
        <f>"5/2013-MUP-89"</f>
        <v>5/2013-MUP-89</v>
      </c>
      <c r="D304" s="15" t="str">
        <f t="shared" si="8"/>
        <v>EUROHERC OSIGURANJE D.D.</v>
      </c>
      <c r="E304" s="16">
        <v>42098</v>
      </c>
      <c r="F304" s="16">
        <v>42464</v>
      </c>
      <c r="G304" s="13">
        <v>8727.16</v>
      </c>
      <c r="H304" s="16">
        <v>42464</v>
      </c>
      <c r="I304" s="13">
        <v>8727.16</v>
      </c>
      <c r="J304" s="13">
        <f t="shared" si="9"/>
        <v>8727.16</v>
      </c>
      <c r="K304" s="6"/>
    </row>
    <row r="305" spans="1:11" ht="24" x14ac:dyDescent="0.25">
      <c r="A305" s="3">
        <v>290</v>
      </c>
      <c r="B305" s="14" t="s">
        <v>27</v>
      </c>
      <c r="C305" s="15" t="str">
        <f>"5/2013-MUP-88"</f>
        <v>5/2013-MUP-88</v>
      </c>
      <c r="D305" s="15" t="str">
        <f t="shared" si="8"/>
        <v>EUROHERC OSIGURANJE D.D.</v>
      </c>
      <c r="E305" s="16">
        <v>42097</v>
      </c>
      <c r="F305" s="16">
        <v>42463</v>
      </c>
      <c r="G305" s="13">
        <v>51119.6</v>
      </c>
      <c r="H305" s="16">
        <v>42463</v>
      </c>
      <c r="I305" s="13">
        <v>51119.6</v>
      </c>
      <c r="J305" s="13">
        <f t="shared" si="9"/>
        <v>51119.6</v>
      </c>
      <c r="K305" s="6"/>
    </row>
    <row r="306" spans="1:11" ht="24" x14ac:dyDescent="0.25">
      <c r="A306" s="3">
        <v>291</v>
      </c>
      <c r="B306" s="14" t="s">
        <v>27</v>
      </c>
      <c r="C306" s="15" t="str">
        <f>"5/2013-MUP-87"</f>
        <v>5/2013-MUP-87</v>
      </c>
      <c r="D306" s="15" t="str">
        <f t="shared" si="8"/>
        <v>EUROHERC OSIGURANJE D.D.</v>
      </c>
      <c r="E306" s="16">
        <v>42096</v>
      </c>
      <c r="F306" s="16">
        <v>42462</v>
      </c>
      <c r="G306" s="13">
        <v>49275.13</v>
      </c>
      <c r="H306" s="16">
        <v>42462</v>
      </c>
      <c r="I306" s="13">
        <v>49275.13</v>
      </c>
      <c r="J306" s="13">
        <f t="shared" si="9"/>
        <v>49275.13</v>
      </c>
      <c r="K306" s="6"/>
    </row>
    <row r="307" spans="1:11" ht="24" x14ac:dyDescent="0.25">
      <c r="A307" s="3">
        <v>292</v>
      </c>
      <c r="B307" s="14" t="s">
        <v>61</v>
      </c>
      <c r="C307" s="15" t="str">
        <f>"5/2013-DZM-17"</f>
        <v>5/2013-DZM-17</v>
      </c>
      <c r="D307" s="15" t="str">
        <f t="shared" si="8"/>
        <v>EUROHERC OSIGURANJE D.D.</v>
      </c>
      <c r="E307" s="16">
        <v>42096</v>
      </c>
      <c r="F307" s="16">
        <v>42462</v>
      </c>
      <c r="G307" s="13">
        <v>2911.26</v>
      </c>
      <c r="H307" s="16">
        <v>42462</v>
      </c>
      <c r="I307" s="13">
        <v>2911.26</v>
      </c>
      <c r="J307" s="13">
        <f t="shared" si="9"/>
        <v>2911.26</v>
      </c>
      <c r="K307" s="6"/>
    </row>
    <row r="308" spans="1:11" ht="24" x14ac:dyDescent="0.25">
      <c r="A308" s="3">
        <v>293</v>
      </c>
      <c r="B308" s="14" t="s">
        <v>58</v>
      </c>
      <c r="C308" s="15" t="str">
        <f>"4500009609"</f>
        <v>4500009609</v>
      </c>
      <c r="D308" s="15" t="str">
        <f t="shared" si="8"/>
        <v>EUROHERC OSIGURANJE D.D.</v>
      </c>
      <c r="E308" s="16">
        <v>42475</v>
      </c>
      <c r="F308" s="16">
        <v>42098</v>
      </c>
      <c r="G308" s="13">
        <v>20163.11</v>
      </c>
      <c r="H308" s="16">
        <v>42098</v>
      </c>
      <c r="I308" s="13">
        <v>20163.11</v>
      </c>
      <c r="J308" s="13">
        <f t="shared" si="9"/>
        <v>20163.11</v>
      </c>
      <c r="K308" s="6"/>
    </row>
    <row r="309" spans="1:11" ht="24" x14ac:dyDescent="0.25">
      <c r="A309" s="3">
        <v>294</v>
      </c>
      <c r="B309" s="14" t="s">
        <v>27</v>
      </c>
      <c r="C309" s="15" t="str">
        <f>"5/2013-MUP-86"</f>
        <v>5/2013-MUP-86</v>
      </c>
      <c r="D309" s="15" t="str">
        <f t="shared" si="8"/>
        <v>EUROHERC OSIGURANJE D.D.</v>
      </c>
      <c r="E309" s="16">
        <v>42095</v>
      </c>
      <c r="F309" s="16">
        <v>42461</v>
      </c>
      <c r="G309" s="13">
        <v>2444.23</v>
      </c>
      <c r="H309" s="16">
        <v>42461</v>
      </c>
      <c r="I309" s="13">
        <v>2444.23</v>
      </c>
      <c r="J309" s="13">
        <f t="shared" si="9"/>
        <v>2444.23</v>
      </c>
      <c r="K309" s="6"/>
    </row>
    <row r="310" spans="1:11" ht="24" x14ac:dyDescent="0.25">
      <c r="A310" s="3">
        <v>295</v>
      </c>
      <c r="B310" s="14" t="s">
        <v>27</v>
      </c>
      <c r="C310" s="15" t="str">
        <f>"5/2013-MUP-85"</f>
        <v>5/2013-MUP-85</v>
      </c>
      <c r="D310" s="15" t="str">
        <f t="shared" si="8"/>
        <v>EUROHERC OSIGURANJE D.D.</v>
      </c>
      <c r="E310" s="16">
        <v>42094</v>
      </c>
      <c r="F310" s="16">
        <v>42460</v>
      </c>
      <c r="G310" s="13">
        <v>97011.64</v>
      </c>
      <c r="H310" s="16">
        <v>42460</v>
      </c>
      <c r="I310" s="13">
        <v>97011.64</v>
      </c>
      <c r="J310" s="13">
        <f t="shared" si="9"/>
        <v>97011.64</v>
      </c>
      <c r="K310" s="6"/>
    </row>
    <row r="311" spans="1:11" ht="24" x14ac:dyDescent="0.25">
      <c r="A311" s="3">
        <v>296</v>
      </c>
      <c r="B311" s="14" t="s">
        <v>27</v>
      </c>
      <c r="C311" s="15" t="str">
        <f>"5/2013-MUP-84"</f>
        <v>5/2013-MUP-84</v>
      </c>
      <c r="D311" s="15" t="str">
        <f t="shared" si="8"/>
        <v>EUROHERC OSIGURANJE D.D.</v>
      </c>
      <c r="E311" s="16">
        <v>42093</v>
      </c>
      <c r="F311" s="16">
        <v>42459</v>
      </c>
      <c r="G311" s="13">
        <v>11335.49</v>
      </c>
      <c r="H311" s="16">
        <v>42459</v>
      </c>
      <c r="I311" s="13">
        <v>11335.49</v>
      </c>
      <c r="J311" s="13">
        <f t="shared" si="9"/>
        <v>11335.49</v>
      </c>
      <c r="K311" s="6"/>
    </row>
    <row r="312" spans="1:11" ht="24" x14ac:dyDescent="0.25">
      <c r="A312" s="3">
        <v>297</v>
      </c>
      <c r="B312" s="14" t="s">
        <v>27</v>
      </c>
      <c r="C312" s="15" t="str">
        <f>"5/2013-MUP-83"</f>
        <v>5/2013-MUP-83</v>
      </c>
      <c r="D312" s="15" t="str">
        <f t="shared" si="8"/>
        <v>EUROHERC OSIGURANJE D.D.</v>
      </c>
      <c r="E312" s="16">
        <v>42092</v>
      </c>
      <c r="F312" s="16">
        <v>42458</v>
      </c>
      <c r="G312" s="13">
        <v>4913.3599999999997</v>
      </c>
      <c r="H312" s="16">
        <v>42458</v>
      </c>
      <c r="I312" s="13">
        <v>4913.3599999999997</v>
      </c>
      <c r="J312" s="13">
        <f t="shared" si="9"/>
        <v>4913.3599999999997</v>
      </c>
      <c r="K312" s="6"/>
    </row>
    <row r="313" spans="1:11" ht="24" x14ac:dyDescent="0.25">
      <c r="A313" s="3">
        <v>298</v>
      </c>
      <c r="B313" s="14" t="s">
        <v>27</v>
      </c>
      <c r="C313" s="15" t="str">
        <f>"5/2013-MUP-82"</f>
        <v>5/2013-MUP-82</v>
      </c>
      <c r="D313" s="15" t="str">
        <f t="shared" si="8"/>
        <v>EUROHERC OSIGURANJE D.D.</v>
      </c>
      <c r="E313" s="16">
        <v>42091</v>
      </c>
      <c r="F313" s="16">
        <v>42457</v>
      </c>
      <c r="G313" s="13">
        <v>121953.92</v>
      </c>
      <c r="H313" s="16">
        <v>42457</v>
      </c>
      <c r="I313" s="13">
        <v>121953.92</v>
      </c>
      <c r="J313" s="13">
        <f t="shared" si="9"/>
        <v>121953.92</v>
      </c>
      <c r="K313" s="6"/>
    </row>
    <row r="314" spans="1:11" ht="24" x14ac:dyDescent="0.25">
      <c r="A314" s="3">
        <v>299</v>
      </c>
      <c r="B314" s="14" t="s">
        <v>27</v>
      </c>
      <c r="C314" s="15" t="str">
        <f>"5/2013-MUP-81"</f>
        <v>5/2013-MUP-81</v>
      </c>
      <c r="D314" s="15" t="str">
        <f t="shared" si="8"/>
        <v>EUROHERC OSIGURANJE D.D.</v>
      </c>
      <c r="E314" s="16">
        <v>42090</v>
      </c>
      <c r="F314" s="16">
        <v>42456</v>
      </c>
      <c r="G314" s="13">
        <v>23104.44</v>
      </c>
      <c r="H314" s="16">
        <v>42456</v>
      </c>
      <c r="I314" s="13">
        <v>23104.44</v>
      </c>
      <c r="J314" s="13">
        <f t="shared" si="9"/>
        <v>23104.44</v>
      </c>
      <c r="K314" s="6"/>
    </row>
    <row r="315" spans="1:11" ht="24" x14ac:dyDescent="0.25">
      <c r="A315" s="3">
        <v>300</v>
      </c>
      <c r="B315" s="14" t="s">
        <v>27</v>
      </c>
      <c r="C315" s="15" t="str">
        <f>"5/2013-MUP-80"</f>
        <v>5/2013-MUP-80</v>
      </c>
      <c r="D315" s="15" t="str">
        <f t="shared" si="8"/>
        <v>EUROHERC OSIGURANJE D.D.</v>
      </c>
      <c r="E315" s="16">
        <v>42089</v>
      </c>
      <c r="F315" s="16">
        <v>42089</v>
      </c>
      <c r="G315" s="13">
        <v>1225.3399999999999</v>
      </c>
      <c r="H315" s="16">
        <v>42089</v>
      </c>
      <c r="I315" s="13">
        <v>1225.3399999999999</v>
      </c>
      <c r="J315" s="13">
        <f t="shared" si="9"/>
        <v>1225.3399999999999</v>
      </c>
      <c r="K315" s="6"/>
    </row>
    <row r="316" spans="1:11" ht="24" x14ac:dyDescent="0.25">
      <c r="A316" s="3">
        <v>301</v>
      </c>
      <c r="B316" s="14" t="s">
        <v>27</v>
      </c>
      <c r="C316" s="15" t="str">
        <f>"5/2013-MUP-79"</f>
        <v>5/2013-MUP-79</v>
      </c>
      <c r="D316" s="15" t="str">
        <f t="shared" si="8"/>
        <v>EUROHERC OSIGURANJE D.D.</v>
      </c>
      <c r="E316" s="16">
        <v>42088</v>
      </c>
      <c r="F316" s="16">
        <v>42454</v>
      </c>
      <c r="G316" s="13">
        <v>68592.47</v>
      </c>
      <c r="H316" s="16">
        <v>42454</v>
      </c>
      <c r="I316" s="13">
        <v>68592.47</v>
      </c>
      <c r="J316" s="13">
        <f t="shared" si="9"/>
        <v>68592.47</v>
      </c>
      <c r="K316" s="6"/>
    </row>
    <row r="317" spans="1:11" ht="24" x14ac:dyDescent="0.25">
      <c r="A317" s="3">
        <v>302</v>
      </c>
      <c r="B317" s="14" t="s">
        <v>27</v>
      </c>
      <c r="C317" s="15" t="str">
        <f>"5/2013-MUP-77"</f>
        <v>5/2013-MUP-77</v>
      </c>
      <c r="D317" s="15" t="str">
        <f t="shared" si="8"/>
        <v>EUROHERC OSIGURANJE D.D.</v>
      </c>
      <c r="E317" s="16">
        <v>42087</v>
      </c>
      <c r="F317" s="16">
        <v>42453</v>
      </c>
      <c r="G317" s="13">
        <v>33737.589999999997</v>
      </c>
      <c r="H317" s="16">
        <v>42453</v>
      </c>
      <c r="I317" s="13">
        <v>33737.589999999997</v>
      </c>
      <c r="J317" s="13">
        <f t="shared" si="9"/>
        <v>33737.589999999997</v>
      </c>
      <c r="K317" s="6"/>
    </row>
    <row r="318" spans="1:11" ht="24" x14ac:dyDescent="0.25">
      <c r="A318" s="3">
        <v>303</v>
      </c>
      <c r="B318" s="14" t="s">
        <v>27</v>
      </c>
      <c r="C318" s="15" t="str">
        <f>"5/2013-MUP-78"</f>
        <v>5/2013-MUP-78</v>
      </c>
      <c r="D318" s="15" t="str">
        <f t="shared" si="8"/>
        <v>EUROHERC OSIGURANJE D.D.</v>
      </c>
      <c r="E318" s="16">
        <v>42087</v>
      </c>
      <c r="F318" s="16">
        <v>42453</v>
      </c>
      <c r="G318" s="13">
        <v>63925.04</v>
      </c>
      <c r="H318" s="16">
        <v>42453</v>
      </c>
      <c r="I318" s="13">
        <v>63925.04</v>
      </c>
      <c r="J318" s="13">
        <f t="shared" si="9"/>
        <v>63925.04</v>
      </c>
      <c r="K318" s="6"/>
    </row>
    <row r="319" spans="1:11" ht="24" x14ac:dyDescent="0.25">
      <c r="A319" s="3">
        <v>304</v>
      </c>
      <c r="B319" s="14" t="s">
        <v>61</v>
      </c>
      <c r="C319" s="15" t="str">
        <f>"5/2013-DZM-16"</f>
        <v>5/2013-DZM-16</v>
      </c>
      <c r="D319" s="15" t="str">
        <f t="shared" si="8"/>
        <v>EUROHERC OSIGURANJE D.D.</v>
      </c>
      <c r="E319" s="16">
        <v>42087</v>
      </c>
      <c r="F319" s="16">
        <v>42453</v>
      </c>
      <c r="G319" s="13">
        <v>45.52</v>
      </c>
      <c r="H319" s="16">
        <v>42453</v>
      </c>
      <c r="I319" s="13">
        <v>45.52</v>
      </c>
      <c r="J319" s="13">
        <f t="shared" si="9"/>
        <v>45.52</v>
      </c>
      <c r="K319" s="6"/>
    </row>
    <row r="320" spans="1:11" ht="24" x14ac:dyDescent="0.25">
      <c r="A320" s="3">
        <v>305</v>
      </c>
      <c r="B320" s="14" t="s">
        <v>58</v>
      </c>
      <c r="C320" s="15" t="str">
        <f>"4500009529"</f>
        <v>4500009529</v>
      </c>
      <c r="D320" s="15" t="str">
        <f t="shared" si="8"/>
        <v>EUROHERC OSIGURANJE D.D.</v>
      </c>
      <c r="E320" s="16">
        <v>42475</v>
      </c>
      <c r="F320" s="16">
        <v>42086</v>
      </c>
      <c r="G320" s="13">
        <v>2222.7800000000002</v>
      </c>
      <c r="H320" s="16">
        <v>42086</v>
      </c>
      <c r="I320" s="13">
        <v>2222.7800000000002</v>
      </c>
      <c r="J320" s="13">
        <f t="shared" si="9"/>
        <v>2222.7800000000002</v>
      </c>
      <c r="K320" s="6"/>
    </row>
    <row r="321" spans="1:11" ht="24" x14ac:dyDescent="0.25">
      <c r="A321" s="3">
        <v>306</v>
      </c>
      <c r="B321" s="14" t="s">
        <v>27</v>
      </c>
      <c r="C321" s="15" t="str">
        <f>"5/2013-MUP-76"</f>
        <v>5/2013-MUP-76</v>
      </c>
      <c r="D321" s="15" t="str">
        <f t="shared" si="8"/>
        <v>EUROHERC OSIGURANJE D.D.</v>
      </c>
      <c r="E321" s="16">
        <v>42085</v>
      </c>
      <c r="F321" s="16">
        <v>42451</v>
      </c>
      <c r="G321" s="13">
        <v>59369.38</v>
      </c>
      <c r="H321" s="16">
        <v>42451</v>
      </c>
      <c r="I321" s="13">
        <v>59369.38</v>
      </c>
      <c r="J321" s="13">
        <f t="shared" si="9"/>
        <v>59369.38</v>
      </c>
      <c r="K321" s="6"/>
    </row>
    <row r="322" spans="1:11" ht="24" x14ac:dyDescent="0.25">
      <c r="A322" s="3">
        <v>307</v>
      </c>
      <c r="B322" s="14" t="s">
        <v>27</v>
      </c>
      <c r="C322" s="15" t="str">
        <f>"5/2013-MUP-75"</f>
        <v>5/2013-MUP-75</v>
      </c>
      <c r="D322" s="15" t="str">
        <f t="shared" si="8"/>
        <v>EUROHERC OSIGURANJE D.D.</v>
      </c>
      <c r="E322" s="16">
        <v>42084</v>
      </c>
      <c r="F322" s="16">
        <v>42450</v>
      </c>
      <c r="G322" s="13">
        <v>138347.60999999999</v>
      </c>
      <c r="H322" s="16">
        <v>42450</v>
      </c>
      <c r="I322" s="13">
        <v>138347.60999999999</v>
      </c>
      <c r="J322" s="13">
        <f t="shared" si="9"/>
        <v>138347.60999999999</v>
      </c>
      <c r="K322" s="6"/>
    </row>
    <row r="323" spans="1:11" ht="24" x14ac:dyDescent="0.25">
      <c r="A323" s="3">
        <v>308</v>
      </c>
      <c r="B323" s="14" t="s">
        <v>27</v>
      </c>
      <c r="C323" s="15" t="str">
        <f>"5/2013-MUP-74"</f>
        <v>5/2013-MUP-74</v>
      </c>
      <c r="D323" s="15" t="str">
        <f t="shared" si="8"/>
        <v>EUROHERC OSIGURANJE D.D.</v>
      </c>
      <c r="E323" s="16">
        <v>42083</v>
      </c>
      <c r="F323" s="16">
        <v>42449</v>
      </c>
      <c r="G323" s="13">
        <v>31303.05</v>
      </c>
      <c r="H323" s="16">
        <v>42449</v>
      </c>
      <c r="I323" s="13">
        <v>31303.05</v>
      </c>
      <c r="J323" s="13">
        <f t="shared" si="9"/>
        <v>31303.05</v>
      </c>
      <c r="K323" s="6"/>
    </row>
    <row r="324" spans="1:11" ht="24" x14ac:dyDescent="0.25">
      <c r="A324" s="3">
        <v>309</v>
      </c>
      <c r="B324" s="14" t="s">
        <v>61</v>
      </c>
      <c r="C324" s="15" t="str">
        <f>"5/2013-DZM-11"</f>
        <v>5/2013-DZM-11</v>
      </c>
      <c r="D324" s="15" t="str">
        <f t="shared" si="8"/>
        <v>EUROHERC OSIGURANJE D.D.</v>
      </c>
      <c r="E324" s="16">
        <v>42082</v>
      </c>
      <c r="F324" s="16">
        <v>42448</v>
      </c>
      <c r="G324" s="13">
        <v>2668.87</v>
      </c>
      <c r="H324" s="16">
        <v>42448</v>
      </c>
      <c r="I324" s="13">
        <v>2668.87</v>
      </c>
      <c r="J324" s="13">
        <f t="shared" si="9"/>
        <v>2668.87</v>
      </c>
      <c r="K324" s="6"/>
    </row>
    <row r="325" spans="1:11" ht="24" x14ac:dyDescent="0.25">
      <c r="A325" s="3">
        <v>310</v>
      </c>
      <c r="B325" s="14" t="s">
        <v>27</v>
      </c>
      <c r="C325" s="15" t="str">
        <f>"5/2013-MUP-73"</f>
        <v>5/2013-MUP-73</v>
      </c>
      <c r="D325" s="15" t="str">
        <f t="shared" si="8"/>
        <v>EUROHERC OSIGURANJE D.D.</v>
      </c>
      <c r="E325" s="16">
        <v>42082</v>
      </c>
      <c r="F325" s="16">
        <v>42448</v>
      </c>
      <c r="G325" s="13">
        <v>5592.28</v>
      </c>
      <c r="H325" s="16">
        <v>42448</v>
      </c>
      <c r="I325" s="13">
        <v>5592.28</v>
      </c>
      <c r="J325" s="13">
        <f t="shared" si="9"/>
        <v>5592.28</v>
      </c>
      <c r="K325" s="6"/>
    </row>
    <row r="326" spans="1:11" ht="24" x14ac:dyDescent="0.25">
      <c r="A326" s="3">
        <v>311</v>
      </c>
      <c r="B326" s="14" t="s">
        <v>61</v>
      </c>
      <c r="C326" s="15" t="str">
        <f>"5/2013-DZM-10"</f>
        <v>5/2013-DZM-10</v>
      </c>
      <c r="D326" s="15" t="str">
        <f t="shared" si="8"/>
        <v>EUROHERC OSIGURANJE D.D.</v>
      </c>
      <c r="E326" s="16">
        <v>42081</v>
      </c>
      <c r="F326" s="16">
        <v>42447</v>
      </c>
      <c r="G326" s="13">
        <v>1671.67</v>
      </c>
      <c r="H326" s="16">
        <v>42447</v>
      </c>
      <c r="I326" s="13">
        <v>1671.67</v>
      </c>
      <c r="J326" s="13">
        <f t="shared" si="9"/>
        <v>1671.67</v>
      </c>
      <c r="K326" s="6"/>
    </row>
    <row r="327" spans="1:11" ht="24" x14ac:dyDescent="0.25">
      <c r="A327" s="3">
        <v>312</v>
      </c>
      <c r="B327" s="14" t="s">
        <v>27</v>
      </c>
      <c r="C327" s="15" t="str">
        <f>"5/2013-MUP-72"</f>
        <v>5/2013-MUP-72</v>
      </c>
      <c r="D327" s="15" t="str">
        <f t="shared" si="8"/>
        <v>EUROHERC OSIGURANJE D.D.</v>
      </c>
      <c r="E327" s="16">
        <v>42081</v>
      </c>
      <c r="F327" s="16">
        <v>42447</v>
      </c>
      <c r="G327" s="13">
        <v>5823.11</v>
      </c>
      <c r="H327" s="16">
        <v>42447</v>
      </c>
      <c r="I327" s="13">
        <v>5823.11</v>
      </c>
      <c r="J327" s="13">
        <f t="shared" si="9"/>
        <v>5823.11</v>
      </c>
      <c r="K327" s="6"/>
    </row>
    <row r="328" spans="1:11" ht="24" x14ac:dyDescent="0.25">
      <c r="A328" s="3">
        <v>313</v>
      </c>
      <c r="B328" s="14" t="s">
        <v>27</v>
      </c>
      <c r="C328" s="15" t="str">
        <f>"5/2013-MUP-71"</f>
        <v>5/2013-MUP-71</v>
      </c>
      <c r="D328" s="15" t="str">
        <f t="shared" si="8"/>
        <v>EUROHERC OSIGURANJE D.D.</v>
      </c>
      <c r="E328" s="16">
        <v>42080</v>
      </c>
      <c r="F328" s="16">
        <v>42446</v>
      </c>
      <c r="G328" s="13">
        <v>145730.63</v>
      </c>
      <c r="H328" s="16">
        <v>42446</v>
      </c>
      <c r="I328" s="13">
        <v>145730.63</v>
      </c>
      <c r="J328" s="13">
        <f t="shared" si="9"/>
        <v>145730.63</v>
      </c>
      <c r="K328" s="6"/>
    </row>
    <row r="329" spans="1:11" ht="24" x14ac:dyDescent="0.25">
      <c r="A329" s="3">
        <v>314</v>
      </c>
      <c r="B329" s="14" t="s">
        <v>27</v>
      </c>
      <c r="C329" s="15" t="str">
        <f>"5/2013-MUP-70"</f>
        <v>5/2013-MUP-70</v>
      </c>
      <c r="D329" s="15" t="str">
        <f t="shared" si="8"/>
        <v>EUROHERC OSIGURANJE D.D.</v>
      </c>
      <c r="E329" s="16">
        <v>42079</v>
      </c>
      <c r="F329" s="16">
        <v>42445</v>
      </c>
      <c r="G329" s="13">
        <v>3707.39</v>
      </c>
      <c r="H329" s="16">
        <v>42445</v>
      </c>
      <c r="I329" s="13">
        <v>3707.39</v>
      </c>
      <c r="J329" s="13">
        <f t="shared" si="9"/>
        <v>3707.39</v>
      </c>
      <c r="K329" s="6"/>
    </row>
    <row r="330" spans="1:11" ht="24" x14ac:dyDescent="0.25">
      <c r="A330" s="3">
        <v>315</v>
      </c>
      <c r="B330" s="14" t="s">
        <v>27</v>
      </c>
      <c r="C330" s="15" t="str">
        <f>"5/2013-MUP-69"</f>
        <v>5/2013-MUP-69</v>
      </c>
      <c r="D330" s="15" t="str">
        <f t="shared" si="8"/>
        <v>EUROHERC OSIGURANJE D.D.</v>
      </c>
      <c r="E330" s="16">
        <v>42078</v>
      </c>
      <c r="F330" s="16">
        <v>42444</v>
      </c>
      <c r="G330" s="13">
        <v>300.24</v>
      </c>
      <c r="H330" s="16">
        <v>42444</v>
      </c>
      <c r="I330" s="13">
        <v>300.24</v>
      </c>
      <c r="J330" s="13">
        <f t="shared" si="9"/>
        <v>300.24</v>
      </c>
      <c r="K330" s="6"/>
    </row>
    <row r="331" spans="1:11" ht="24" x14ac:dyDescent="0.25">
      <c r="A331" s="3">
        <v>316</v>
      </c>
      <c r="B331" s="14" t="s">
        <v>33</v>
      </c>
      <c r="C331" s="15" t="str">
        <f>"5/2013-MFINCU-1"</f>
        <v>5/2013-MFINCU-1</v>
      </c>
      <c r="D331" s="15" t="str">
        <f t="shared" si="8"/>
        <v>EUROHERC OSIGURANJE D.D.</v>
      </c>
      <c r="E331" s="16">
        <v>42077</v>
      </c>
      <c r="F331" s="16">
        <v>42443</v>
      </c>
      <c r="G331" s="13">
        <v>31.02</v>
      </c>
      <c r="H331" s="16">
        <v>42443</v>
      </c>
      <c r="I331" s="13">
        <v>181344.2</v>
      </c>
      <c r="J331" s="13">
        <f t="shared" si="9"/>
        <v>181344.2</v>
      </c>
      <c r="K331" s="6"/>
    </row>
    <row r="332" spans="1:11" ht="24" x14ac:dyDescent="0.25">
      <c r="A332" s="3">
        <v>317</v>
      </c>
      <c r="B332" s="14" t="s">
        <v>27</v>
      </c>
      <c r="C332" s="15" t="str">
        <f>"5/2013-MUP-68"</f>
        <v>5/2013-MUP-68</v>
      </c>
      <c r="D332" s="15" t="str">
        <f t="shared" si="8"/>
        <v>EUROHERC OSIGURANJE D.D.</v>
      </c>
      <c r="E332" s="16">
        <v>42077</v>
      </c>
      <c r="F332" s="16">
        <v>42443</v>
      </c>
      <c r="G332" s="13">
        <v>89163.33</v>
      </c>
      <c r="H332" s="16">
        <v>42443</v>
      </c>
      <c r="I332" s="13">
        <v>89163.33</v>
      </c>
      <c r="J332" s="13">
        <f t="shared" si="9"/>
        <v>89163.33</v>
      </c>
      <c r="K332" s="6"/>
    </row>
    <row r="333" spans="1:11" ht="24" x14ac:dyDescent="0.25">
      <c r="A333" s="3">
        <v>318</v>
      </c>
      <c r="B333" s="14" t="s">
        <v>27</v>
      </c>
      <c r="C333" s="15" t="str">
        <f>"5/2013-MUP-67"</f>
        <v>5/2013-MUP-67</v>
      </c>
      <c r="D333" s="15" t="str">
        <f t="shared" si="8"/>
        <v>EUROHERC OSIGURANJE D.D.</v>
      </c>
      <c r="E333" s="16">
        <v>42076</v>
      </c>
      <c r="F333" s="16">
        <v>42442</v>
      </c>
      <c r="G333" s="13">
        <v>13945.12</v>
      </c>
      <c r="H333" s="16">
        <v>42442</v>
      </c>
      <c r="I333" s="13">
        <v>13945.12</v>
      </c>
      <c r="J333" s="13">
        <f t="shared" si="9"/>
        <v>13945.12</v>
      </c>
      <c r="K333" s="6"/>
    </row>
    <row r="334" spans="1:11" ht="24" x14ac:dyDescent="0.25">
      <c r="A334" s="3">
        <v>319</v>
      </c>
      <c r="B334" s="14" t="s">
        <v>61</v>
      </c>
      <c r="C334" s="15" t="str">
        <f>"5/2013-DZM-14"</f>
        <v>5/2013-DZM-14</v>
      </c>
      <c r="D334" s="15" t="str">
        <f t="shared" si="8"/>
        <v>EUROHERC OSIGURANJE D.D.</v>
      </c>
      <c r="E334" s="16">
        <v>42075</v>
      </c>
      <c r="F334" s="16">
        <v>42441</v>
      </c>
      <c r="G334" s="13">
        <v>3009.01</v>
      </c>
      <c r="H334" s="16">
        <v>42441</v>
      </c>
      <c r="I334" s="13">
        <v>3009.01</v>
      </c>
      <c r="J334" s="13">
        <f t="shared" si="9"/>
        <v>3009.01</v>
      </c>
      <c r="K334" s="6"/>
    </row>
    <row r="335" spans="1:11" ht="24" x14ac:dyDescent="0.25">
      <c r="A335" s="3">
        <v>320</v>
      </c>
      <c r="B335" s="14" t="s">
        <v>61</v>
      </c>
      <c r="C335" s="15" t="str">
        <f>"5/2013-DZM-15"</f>
        <v>5/2013-DZM-15</v>
      </c>
      <c r="D335" s="15" t="str">
        <f t="shared" si="8"/>
        <v>EUROHERC OSIGURANJE D.D.</v>
      </c>
      <c r="E335" s="16">
        <v>42075</v>
      </c>
      <c r="F335" s="16">
        <v>42441</v>
      </c>
      <c r="G335" s="13">
        <v>14.52</v>
      </c>
      <c r="H335" s="16">
        <v>42441</v>
      </c>
      <c r="I335" s="13">
        <v>14.52</v>
      </c>
      <c r="J335" s="13">
        <f t="shared" si="9"/>
        <v>14.52</v>
      </c>
      <c r="K335" s="6"/>
    </row>
    <row r="336" spans="1:11" ht="24" x14ac:dyDescent="0.25">
      <c r="A336" s="3">
        <v>321</v>
      </c>
      <c r="B336" s="14" t="s">
        <v>61</v>
      </c>
      <c r="C336" s="15" t="str">
        <f>"5/2013-DZM-13"</f>
        <v>5/2013-DZM-13</v>
      </c>
      <c r="D336" s="15" t="str">
        <f t="shared" ref="D336:D393" si="10">CONCATENATE("EUROHERC OSIGURANJE D.D.")</f>
        <v>EUROHERC OSIGURANJE D.D.</v>
      </c>
      <c r="E336" s="16">
        <v>42074</v>
      </c>
      <c r="F336" s="16">
        <v>42440</v>
      </c>
      <c r="G336" s="13">
        <v>79.84</v>
      </c>
      <c r="H336" s="16">
        <v>42440</v>
      </c>
      <c r="I336" s="13">
        <v>79.84</v>
      </c>
      <c r="J336" s="13">
        <f t="shared" si="9"/>
        <v>79.84</v>
      </c>
      <c r="K336" s="6"/>
    </row>
    <row r="337" spans="1:11" ht="24" x14ac:dyDescent="0.25">
      <c r="A337" s="3">
        <v>322</v>
      </c>
      <c r="B337" s="14" t="s">
        <v>61</v>
      </c>
      <c r="C337" s="15" t="str">
        <f>"5/2013-DZM-12"</f>
        <v>5/2013-DZM-12</v>
      </c>
      <c r="D337" s="15" t="str">
        <f t="shared" si="10"/>
        <v>EUROHERC OSIGURANJE D.D.</v>
      </c>
      <c r="E337" s="16">
        <v>42074</v>
      </c>
      <c r="F337" s="16">
        <v>42440</v>
      </c>
      <c r="G337" s="13">
        <v>23103.19</v>
      </c>
      <c r="H337" s="16">
        <v>42440</v>
      </c>
      <c r="I337" s="13">
        <v>23103.19</v>
      </c>
      <c r="J337" s="13">
        <f t="shared" ref="J337:J394" si="11">I337</f>
        <v>23103.19</v>
      </c>
      <c r="K337" s="6"/>
    </row>
    <row r="338" spans="1:11" ht="24" x14ac:dyDescent="0.25">
      <c r="A338" s="3">
        <v>323</v>
      </c>
      <c r="B338" s="14" t="s">
        <v>27</v>
      </c>
      <c r="C338" s="15" t="str">
        <f>"5/2013-MUP-65"</f>
        <v>5/2013-MUP-65</v>
      </c>
      <c r="D338" s="15" t="str">
        <f t="shared" si="10"/>
        <v>EUROHERC OSIGURANJE D.D.</v>
      </c>
      <c r="E338" s="16">
        <v>42074</v>
      </c>
      <c r="F338" s="16">
        <v>42440</v>
      </c>
      <c r="G338" s="13">
        <v>141112.12</v>
      </c>
      <c r="H338" s="16">
        <v>42440</v>
      </c>
      <c r="I338" s="13">
        <v>141112.12</v>
      </c>
      <c r="J338" s="13">
        <f t="shared" si="11"/>
        <v>141112.12</v>
      </c>
      <c r="K338" s="6"/>
    </row>
    <row r="339" spans="1:11" ht="24" x14ac:dyDescent="0.25">
      <c r="A339" s="3">
        <v>324</v>
      </c>
      <c r="B339" s="14" t="s">
        <v>27</v>
      </c>
      <c r="C339" s="15" t="str">
        <f>"5/2013-MUP-64"</f>
        <v>5/2013-MUP-64</v>
      </c>
      <c r="D339" s="15" t="str">
        <f t="shared" si="10"/>
        <v>EUROHERC OSIGURANJE D.D.</v>
      </c>
      <c r="E339" s="16">
        <v>42073</v>
      </c>
      <c r="F339" s="16">
        <v>42439</v>
      </c>
      <c r="G339" s="13">
        <v>8617.07</v>
      </c>
      <c r="H339" s="16">
        <v>42439</v>
      </c>
      <c r="I339" s="13">
        <v>8617.07</v>
      </c>
      <c r="J339" s="13">
        <f t="shared" si="11"/>
        <v>8617.07</v>
      </c>
      <c r="K339" s="6"/>
    </row>
    <row r="340" spans="1:11" ht="24" x14ac:dyDescent="0.25">
      <c r="A340" s="3">
        <v>325</v>
      </c>
      <c r="B340" s="14" t="s">
        <v>27</v>
      </c>
      <c r="C340" s="15" t="str">
        <f>"5/2013-MUP-63"</f>
        <v>5/2013-MUP-63</v>
      </c>
      <c r="D340" s="15" t="str">
        <f t="shared" si="10"/>
        <v>EUROHERC OSIGURANJE D.D.</v>
      </c>
      <c r="E340" s="16">
        <v>42072</v>
      </c>
      <c r="F340" s="16">
        <v>42438</v>
      </c>
      <c r="G340" s="13">
        <v>66916.14</v>
      </c>
      <c r="H340" s="16">
        <v>42438</v>
      </c>
      <c r="I340" s="13">
        <v>66916.14</v>
      </c>
      <c r="J340" s="13">
        <f t="shared" si="11"/>
        <v>66916.14</v>
      </c>
      <c r="K340" s="6"/>
    </row>
    <row r="341" spans="1:11" ht="24" x14ac:dyDescent="0.25">
      <c r="A341" s="3">
        <v>326</v>
      </c>
      <c r="B341" s="14" t="s">
        <v>27</v>
      </c>
      <c r="C341" s="15" t="str">
        <f>"5/2013-MUP-62"</f>
        <v>5/2013-MUP-62</v>
      </c>
      <c r="D341" s="15" t="str">
        <f t="shared" si="10"/>
        <v>EUROHERC OSIGURANJE D.D.</v>
      </c>
      <c r="E341" s="16">
        <v>42071</v>
      </c>
      <c r="F341" s="16">
        <v>42437</v>
      </c>
      <c r="G341" s="13">
        <v>8821.68</v>
      </c>
      <c r="H341" s="16">
        <v>42437</v>
      </c>
      <c r="I341" s="13">
        <v>8821.68</v>
      </c>
      <c r="J341" s="13">
        <f t="shared" si="11"/>
        <v>8821.68</v>
      </c>
      <c r="K341" s="6"/>
    </row>
    <row r="342" spans="1:11" ht="24" x14ac:dyDescent="0.25">
      <c r="A342" s="3">
        <v>327</v>
      </c>
      <c r="B342" s="14" t="s">
        <v>27</v>
      </c>
      <c r="C342" s="15" t="str">
        <f>"5/2013-MUP-61"</f>
        <v>5/2013-MUP-61</v>
      </c>
      <c r="D342" s="15" t="str">
        <f t="shared" si="10"/>
        <v>EUROHERC OSIGURANJE D.D.</v>
      </c>
      <c r="E342" s="16">
        <v>42070</v>
      </c>
      <c r="F342" s="16">
        <v>42436</v>
      </c>
      <c r="G342" s="13">
        <v>7754.82</v>
      </c>
      <c r="H342" s="16">
        <v>42436</v>
      </c>
      <c r="I342" s="13">
        <v>7754.82</v>
      </c>
      <c r="J342" s="13">
        <f t="shared" si="11"/>
        <v>7754.82</v>
      </c>
      <c r="K342" s="6"/>
    </row>
    <row r="343" spans="1:11" ht="24" x14ac:dyDescent="0.25">
      <c r="A343" s="3">
        <v>328</v>
      </c>
      <c r="B343" s="14" t="s">
        <v>27</v>
      </c>
      <c r="C343" s="15" t="str">
        <f>"5/2013-MUP-60"</f>
        <v>5/2013-MUP-60</v>
      </c>
      <c r="D343" s="15" t="str">
        <f t="shared" si="10"/>
        <v>EUROHERC OSIGURANJE D.D.</v>
      </c>
      <c r="E343" s="16">
        <v>42069</v>
      </c>
      <c r="F343" s="16">
        <v>42435</v>
      </c>
      <c r="G343" s="13">
        <v>33760.89</v>
      </c>
      <c r="H343" s="16">
        <v>42435</v>
      </c>
      <c r="I343" s="13">
        <v>33760.89</v>
      </c>
      <c r="J343" s="13">
        <f t="shared" si="11"/>
        <v>33760.89</v>
      </c>
      <c r="K343" s="6"/>
    </row>
    <row r="344" spans="1:11" ht="24" x14ac:dyDescent="0.25">
      <c r="A344" s="3">
        <v>329</v>
      </c>
      <c r="B344" s="14" t="s">
        <v>27</v>
      </c>
      <c r="C344" s="15" t="str">
        <f>"5/2013-MUP-59"</f>
        <v>5/2013-MUP-59</v>
      </c>
      <c r="D344" s="15" t="str">
        <f t="shared" si="10"/>
        <v>EUROHERC OSIGURANJE D.D.</v>
      </c>
      <c r="E344" s="16">
        <v>42068</v>
      </c>
      <c r="F344" s="16">
        <v>42434</v>
      </c>
      <c r="G344" s="13">
        <v>205612.3</v>
      </c>
      <c r="H344" s="16">
        <v>42434</v>
      </c>
      <c r="I344" s="13">
        <v>205612.3</v>
      </c>
      <c r="J344" s="13">
        <f t="shared" si="11"/>
        <v>205612.3</v>
      </c>
      <c r="K344" s="6"/>
    </row>
    <row r="345" spans="1:11" ht="24" x14ac:dyDescent="0.25">
      <c r="A345" s="3">
        <v>330</v>
      </c>
      <c r="B345" s="14" t="s">
        <v>61</v>
      </c>
      <c r="C345" s="15" t="str">
        <f>"5/2015-DZM-9"</f>
        <v>5/2015-DZM-9</v>
      </c>
      <c r="D345" s="15" t="str">
        <f t="shared" si="10"/>
        <v>EUROHERC OSIGURANJE D.D.</v>
      </c>
      <c r="E345" s="16">
        <v>42068</v>
      </c>
      <c r="F345" s="16">
        <v>42434</v>
      </c>
      <c r="G345" s="13">
        <v>1223.44</v>
      </c>
      <c r="H345" s="16">
        <v>42434</v>
      </c>
      <c r="I345" s="13">
        <v>1223.44</v>
      </c>
      <c r="J345" s="13">
        <f t="shared" si="11"/>
        <v>1223.44</v>
      </c>
      <c r="K345" s="6"/>
    </row>
    <row r="346" spans="1:11" ht="24" x14ac:dyDescent="0.25">
      <c r="A346" s="3">
        <v>331</v>
      </c>
      <c r="B346" s="14" t="s">
        <v>27</v>
      </c>
      <c r="C346" s="15" t="str">
        <f>"5/2013-MUP-55"</f>
        <v>5/2013-MUP-55</v>
      </c>
      <c r="D346" s="15" t="str">
        <f t="shared" si="10"/>
        <v>EUROHERC OSIGURANJE D.D.</v>
      </c>
      <c r="E346" s="16">
        <v>42067</v>
      </c>
      <c r="F346" s="16">
        <v>42433</v>
      </c>
      <c r="G346" s="13">
        <v>185925.5</v>
      </c>
      <c r="H346" s="16">
        <v>42433</v>
      </c>
      <c r="I346" s="13">
        <v>185925.5</v>
      </c>
      <c r="J346" s="13">
        <f t="shared" si="11"/>
        <v>185925.5</v>
      </c>
      <c r="K346" s="6"/>
    </row>
    <row r="347" spans="1:11" ht="24" x14ac:dyDescent="0.25">
      <c r="A347" s="3">
        <v>332</v>
      </c>
      <c r="B347" s="14" t="s">
        <v>27</v>
      </c>
      <c r="C347" s="15" t="str">
        <f>"5/2013-MUP-54"</f>
        <v>5/2013-MUP-54</v>
      </c>
      <c r="D347" s="15" t="str">
        <f t="shared" si="10"/>
        <v>EUROHERC OSIGURANJE D.D.</v>
      </c>
      <c r="E347" s="16">
        <v>42066</v>
      </c>
      <c r="F347" s="16">
        <v>42432</v>
      </c>
      <c r="G347" s="13">
        <v>9436.59</v>
      </c>
      <c r="H347" s="16">
        <v>42432</v>
      </c>
      <c r="I347" s="13">
        <v>9436.59</v>
      </c>
      <c r="J347" s="13">
        <f t="shared" si="11"/>
        <v>9436.59</v>
      </c>
      <c r="K347" s="6"/>
    </row>
    <row r="348" spans="1:11" ht="24" x14ac:dyDescent="0.25">
      <c r="A348" s="3">
        <v>333</v>
      </c>
      <c r="B348" s="14" t="s">
        <v>27</v>
      </c>
      <c r="C348" s="15" t="str">
        <f>"5/2013-MUP-58"</f>
        <v>5/2013-MUP-58</v>
      </c>
      <c r="D348" s="15" t="str">
        <f t="shared" si="10"/>
        <v>EUROHERC OSIGURANJE D.D.</v>
      </c>
      <c r="E348" s="16">
        <v>42065</v>
      </c>
      <c r="F348" s="16">
        <v>42431</v>
      </c>
      <c r="G348" s="13">
        <v>67623.929999999993</v>
      </c>
      <c r="H348" s="16">
        <v>42431</v>
      </c>
      <c r="I348" s="13">
        <v>67623.929999999993</v>
      </c>
      <c r="J348" s="13">
        <f t="shared" si="11"/>
        <v>67623.929999999993</v>
      </c>
      <c r="K348" s="6"/>
    </row>
    <row r="349" spans="1:11" ht="24" x14ac:dyDescent="0.25">
      <c r="A349" s="3">
        <v>334</v>
      </c>
      <c r="B349" s="14" t="s">
        <v>27</v>
      </c>
      <c r="C349" s="15" t="str">
        <f>"5/2013-MUP-53"</f>
        <v>5/2013-MUP-53</v>
      </c>
      <c r="D349" s="15" t="str">
        <f t="shared" si="10"/>
        <v>EUROHERC OSIGURANJE D.D.</v>
      </c>
      <c r="E349" s="16">
        <v>42064</v>
      </c>
      <c r="F349" s="16">
        <v>42430</v>
      </c>
      <c r="G349" s="13">
        <v>17055.36</v>
      </c>
      <c r="H349" s="16">
        <v>42430</v>
      </c>
      <c r="I349" s="13">
        <v>17055.36</v>
      </c>
      <c r="J349" s="13">
        <f t="shared" si="11"/>
        <v>17055.36</v>
      </c>
      <c r="K349" s="6"/>
    </row>
    <row r="350" spans="1:11" ht="24" x14ac:dyDescent="0.25">
      <c r="A350" s="3">
        <v>335</v>
      </c>
      <c r="B350" s="14" t="s">
        <v>27</v>
      </c>
      <c r="C350" s="15" t="str">
        <f>"5/2013-MUP-52"</f>
        <v>5/2013-MUP-52</v>
      </c>
      <c r="D350" s="15" t="str">
        <f t="shared" si="10"/>
        <v>EUROHERC OSIGURANJE D.D.</v>
      </c>
      <c r="E350" s="16">
        <v>42063</v>
      </c>
      <c r="F350" s="16">
        <v>42428</v>
      </c>
      <c r="G350" s="13">
        <v>33162.14</v>
      </c>
      <c r="H350" s="16">
        <v>42428</v>
      </c>
      <c r="I350" s="13">
        <v>33162.14</v>
      </c>
      <c r="J350" s="13">
        <f t="shared" si="11"/>
        <v>33162.14</v>
      </c>
      <c r="K350" s="6"/>
    </row>
    <row r="351" spans="1:11" ht="24" x14ac:dyDescent="0.25">
      <c r="A351" s="3">
        <v>336</v>
      </c>
      <c r="B351" s="14" t="s">
        <v>61</v>
      </c>
      <c r="C351" s="15" t="str">
        <f>"5/2013-DZM-7"</f>
        <v>5/2013-DZM-7</v>
      </c>
      <c r="D351" s="15" t="str">
        <f t="shared" si="10"/>
        <v>EUROHERC OSIGURANJE D.D.</v>
      </c>
      <c r="E351" s="16">
        <v>42062</v>
      </c>
      <c r="F351" s="16">
        <v>42427</v>
      </c>
      <c r="G351" s="13">
        <v>6035.44</v>
      </c>
      <c r="H351" s="16">
        <v>42427</v>
      </c>
      <c r="I351" s="13">
        <v>6035.44</v>
      </c>
      <c r="J351" s="13">
        <f t="shared" si="11"/>
        <v>6035.44</v>
      </c>
      <c r="K351" s="6"/>
    </row>
    <row r="352" spans="1:11" ht="24" x14ac:dyDescent="0.25">
      <c r="A352" s="3">
        <v>337</v>
      </c>
      <c r="B352" s="14" t="s">
        <v>35</v>
      </c>
      <c r="C352" s="15" t="str">
        <f>"5/2013-DGU-21"</f>
        <v>5/2013-DGU-21</v>
      </c>
      <c r="D352" s="15" t="str">
        <f t="shared" si="10"/>
        <v>EUROHERC OSIGURANJE D.D.</v>
      </c>
      <c r="E352" s="16">
        <v>42062</v>
      </c>
      <c r="F352" s="16">
        <v>42427</v>
      </c>
      <c r="G352" s="13">
        <v>4603.8</v>
      </c>
      <c r="H352" s="16">
        <v>42427</v>
      </c>
      <c r="I352" s="13">
        <v>4603.8</v>
      </c>
      <c r="J352" s="13">
        <f t="shared" si="11"/>
        <v>4603.8</v>
      </c>
      <c r="K352" s="6"/>
    </row>
    <row r="353" spans="1:11" ht="24" x14ac:dyDescent="0.25">
      <c r="A353" s="3">
        <v>338</v>
      </c>
      <c r="B353" s="14" t="s">
        <v>61</v>
      </c>
      <c r="C353" s="15" t="str">
        <f>"5/2013-DZM-8"</f>
        <v>5/2013-DZM-8</v>
      </c>
      <c r="D353" s="15" t="str">
        <f t="shared" si="10"/>
        <v>EUROHERC OSIGURANJE D.D.</v>
      </c>
      <c r="E353" s="16">
        <v>42062</v>
      </c>
      <c r="F353" s="16">
        <v>42427</v>
      </c>
      <c r="G353" s="13">
        <v>31.56</v>
      </c>
      <c r="H353" s="16">
        <v>42427</v>
      </c>
      <c r="I353" s="13">
        <v>31.56</v>
      </c>
      <c r="J353" s="13">
        <f t="shared" si="11"/>
        <v>31.56</v>
      </c>
      <c r="K353" s="6"/>
    </row>
    <row r="354" spans="1:11" ht="24" x14ac:dyDescent="0.25">
      <c r="A354" s="3">
        <v>339</v>
      </c>
      <c r="B354" s="14" t="s">
        <v>27</v>
      </c>
      <c r="C354" s="15" t="str">
        <f>"5/2013-MUP-51"</f>
        <v>5/2013-MUP-51</v>
      </c>
      <c r="D354" s="15" t="str">
        <f t="shared" si="10"/>
        <v>EUROHERC OSIGURANJE D.D.</v>
      </c>
      <c r="E354" s="16">
        <v>42062</v>
      </c>
      <c r="F354" s="16">
        <v>42427</v>
      </c>
      <c r="G354" s="13">
        <v>3709.04</v>
      </c>
      <c r="H354" s="16">
        <v>42427</v>
      </c>
      <c r="I354" s="13">
        <v>3709.04</v>
      </c>
      <c r="J354" s="13">
        <f t="shared" si="11"/>
        <v>3709.04</v>
      </c>
      <c r="K354" s="6"/>
    </row>
    <row r="355" spans="1:11" ht="24" x14ac:dyDescent="0.25">
      <c r="A355" s="3">
        <v>340</v>
      </c>
      <c r="B355" s="14" t="s">
        <v>27</v>
      </c>
      <c r="C355" s="15" t="str">
        <f>"5/2013-MUP-57"</f>
        <v>5/2013-MUP-57</v>
      </c>
      <c r="D355" s="15" t="str">
        <f t="shared" si="10"/>
        <v>EUROHERC OSIGURANJE D.D.</v>
      </c>
      <c r="E355" s="16">
        <v>42061</v>
      </c>
      <c r="F355" s="16">
        <v>42426</v>
      </c>
      <c r="G355" s="13">
        <v>4235.07</v>
      </c>
      <c r="H355" s="16">
        <v>42426</v>
      </c>
      <c r="I355" s="13">
        <v>4235.07</v>
      </c>
      <c r="J355" s="13">
        <f t="shared" si="11"/>
        <v>4235.07</v>
      </c>
      <c r="K355" s="6"/>
    </row>
    <row r="356" spans="1:11" ht="24" x14ac:dyDescent="0.25">
      <c r="A356" s="3">
        <v>341</v>
      </c>
      <c r="B356" s="14" t="s">
        <v>27</v>
      </c>
      <c r="C356" s="15" t="str">
        <f>"5/2013-MUP-50"</f>
        <v>5/2013-MUP-50</v>
      </c>
      <c r="D356" s="15" t="str">
        <f t="shared" si="10"/>
        <v>EUROHERC OSIGURANJE D.D.</v>
      </c>
      <c r="E356" s="16">
        <v>42060</v>
      </c>
      <c r="F356" s="16">
        <v>42425</v>
      </c>
      <c r="G356" s="13">
        <v>70496.58</v>
      </c>
      <c r="H356" s="16">
        <v>42425</v>
      </c>
      <c r="I356" s="13">
        <v>70496.58</v>
      </c>
      <c r="J356" s="13">
        <f t="shared" si="11"/>
        <v>70496.58</v>
      </c>
      <c r="K356" s="6"/>
    </row>
    <row r="357" spans="1:11" ht="24" x14ac:dyDescent="0.25">
      <c r="A357" s="3">
        <v>342</v>
      </c>
      <c r="B357" s="14" t="s">
        <v>27</v>
      </c>
      <c r="C357" s="15" t="str">
        <f>"5/2013-MUP-49"</f>
        <v>5/2013-MUP-49</v>
      </c>
      <c r="D357" s="15" t="str">
        <f t="shared" si="10"/>
        <v>EUROHERC OSIGURANJE D.D.</v>
      </c>
      <c r="E357" s="16">
        <v>42059</v>
      </c>
      <c r="F357" s="16">
        <v>42424</v>
      </c>
      <c r="G357" s="13">
        <v>20141.990000000002</v>
      </c>
      <c r="H357" s="16">
        <v>42424</v>
      </c>
      <c r="I357" s="13">
        <v>20141.990000000002</v>
      </c>
      <c r="J357" s="13">
        <f t="shared" si="11"/>
        <v>20141.990000000002</v>
      </c>
      <c r="K357" s="6"/>
    </row>
    <row r="358" spans="1:11" ht="24" x14ac:dyDescent="0.25">
      <c r="A358" s="3">
        <v>343</v>
      </c>
      <c r="B358" s="14" t="s">
        <v>27</v>
      </c>
      <c r="C358" s="15" t="str">
        <f>"5/2013-MUP-48"</f>
        <v>5/2013-MUP-48</v>
      </c>
      <c r="D358" s="15" t="str">
        <f t="shared" si="10"/>
        <v>EUROHERC OSIGURANJE D.D.</v>
      </c>
      <c r="E358" s="16">
        <v>42058</v>
      </c>
      <c r="F358" s="16">
        <v>42423</v>
      </c>
      <c r="G358" s="13">
        <v>24745.200000000001</v>
      </c>
      <c r="H358" s="16">
        <v>42423</v>
      </c>
      <c r="I358" s="13">
        <v>24745.200000000001</v>
      </c>
      <c r="J358" s="13">
        <f t="shared" si="11"/>
        <v>24745.200000000001</v>
      </c>
      <c r="K358" s="6"/>
    </row>
    <row r="359" spans="1:11" ht="24" x14ac:dyDescent="0.25">
      <c r="A359" s="3">
        <v>344</v>
      </c>
      <c r="B359" s="14" t="s">
        <v>27</v>
      </c>
      <c r="C359" s="15" t="str">
        <f>"5/2013-MUP-47"</f>
        <v>5/2013-MUP-47</v>
      </c>
      <c r="D359" s="15" t="str">
        <f t="shared" si="10"/>
        <v>EUROHERC OSIGURANJE D.D.</v>
      </c>
      <c r="E359" s="16">
        <v>42057</v>
      </c>
      <c r="F359" s="16">
        <v>42422</v>
      </c>
      <c r="G359" s="13">
        <v>13534.06</v>
      </c>
      <c r="H359" s="16">
        <v>42422</v>
      </c>
      <c r="I359" s="13">
        <v>13534.06</v>
      </c>
      <c r="J359" s="13">
        <f t="shared" si="11"/>
        <v>13534.06</v>
      </c>
      <c r="K359" s="6"/>
    </row>
    <row r="360" spans="1:11" ht="24" x14ac:dyDescent="0.25">
      <c r="A360" s="3">
        <v>345</v>
      </c>
      <c r="B360" s="14" t="s">
        <v>27</v>
      </c>
      <c r="C360" s="15" t="str">
        <f>"5/2013-MUP-46"</f>
        <v>5/2013-MUP-46</v>
      </c>
      <c r="D360" s="15" t="str">
        <f t="shared" si="10"/>
        <v>EUROHERC OSIGURANJE D.D.</v>
      </c>
      <c r="E360" s="16">
        <v>42056</v>
      </c>
      <c r="F360" s="16">
        <v>42421</v>
      </c>
      <c r="G360" s="13">
        <v>13623.47</v>
      </c>
      <c r="H360" s="16">
        <v>42421</v>
      </c>
      <c r="I360" s="13">
        <v>13623.47</v>
      </c>
      <c r="J360" s="13">
        <f t="shared" si="11"/>
        <v>13623.47</v>
      </c>
      <c r="K360" s="6"/>
    </row>
    <row r="361" spans="1:11" ht="24" x14ac:dyDescent="0.25">
      <c r="A361" s="3">
        <v>346</v>
      </c>
      <c r="B361" s="14" t="s">
        <v>33</v>
      </c>
      <c r="C361" s="15" t="str">
        <f>"5/2013-MFINCU-3"</f>
        <v>5/2013-MFINCU-3</v>
      </c>
      <c r="D361" s="15" t="str">
        <f t="shared" si="10"/>
        <v>EUROHERC OSIGURANJE D.D.</v>
      </c>
      <c r="E361" s="16">
        <v>42056</v>
      </c>
      <c r="F361" s="16">
        <v>42421</v>
      </c>
      <c r="G361" s="13">
        <v>69.36</v>
      </c>
      <c r="H361" s="16">
        <v>42421</v>
      </c>
      <c r="I361" s="13">
        <v>69.36</v>
      </c>
      <c r="J361" s="13">
        <f t="shared" si="11"/>
        <v>69.36</v>
      </c>
      <c r="K361" s="6"/>
    </row>
    <row r="362" spans="1:11" ht="24" x14ac:dyDescent="0.25">
      <c r="A362" s="3">
        <v>347</v>
      </c>
      <c r="B362" s="14" t="s">
        <v>27</v>
      </c>
      <c r="C362" s="15" t="str">
        <f>"5/2013-MUP-45"</f>
        <v>5/2013-MUP-45</v>
      </c>
      <c r="D362" s="15" t="str">
        <f t="shared" si="10"/>
        <v>EUROHERC OSIGURANJE D.D.</v>
      </c>
      <c r="E362" s="16">
        <v>42054</v>
      </c>
      <c r="F362" s="16">
        <v>42419</v>
      </c>
      <c r="G362" s="13">
        <v>5651.74</v>
      </c>
      <c r="H362" s="16">
        <v>42419</v>
      </c>
      <c r="I362" s="13">
        <v>5651.74</v>
      </c>
      <c r="J362" s="13">
        <f t="shared" si="11"/>
        <v>5651.74</v>
      </c>
      <c r="K362" s="6"/>
    </row>
    <row r="363" spans="1:11" ht="24" x14ac:dyDescent="0.25">
      <c r="A363" s="3">
        <v>348</v>
      </c>
      <c r="B363" s="14" t="s">
        <v>33</v>
      </c>
      <c r="C363" s="15" t="str">
        <f>"5/2013-MFINCU-19"</f>
        <v>5/2013-MFINCU-19</v>
      </c>
      <c r="D363" s="15" t="str">
        <f t="shared" si="10"/>
        <v>EUROHERC OSIGURANJE D.D.</v>
      </c>
      <c r="E363" s="16">
        <v>42054</v>
      </c>
      <c r="F363" s="16">
        <v>42419</v>
      </c>
      <c r="G363" s="13">
        <v>1099.78</v>
      </c>
      <c r="H363" s="16">
        <v>42419</v>
      </c>
      <c r="I363" s="13">
        <v>1099.78</v>
      </c>
      <c r="J363" s="13">
        <f t="shared" si="11"/>
        <v>1099.78</v>
      </c>
      <c r="K363" s="6"/>
    </row>
    <row r="364" spans="1:11" ht="24" x14ac:dyDescent="0.25">
      <c r="A364" s="3">
        <v>349</v>
      </c>
      <c r="B364" s="14" t="s">
        <v>42</v>
      </c>
      <c r="C364" s="15" t="str">
        <f>"5/2013-MORH-12"</f>
        <v>5/2013-MORH-12</v>
      </c>
      <c r="D364" s="15" t="str">
        <f t="shared" si="10"/>
        <v>EUROHERC OSIGURANJE D.D.</v>
      </c>
      <c r="E364" s="16">
        <v>42054</v>
      </c>
      <c r="F364" s="16">
        <v>42419</v>
      </c>
      <c r="G364" s="13">
        <v>6661.04</v>
      </c>
      <c r="H364" s="16">
        <v>42419</v>
      </c>
      <c r="I364" s="13">
        <v>5328.83</v>
      </c>
      <c r="J364" s="13">
        <f t="shared" si="11"/>
        <v>5328.83</v>
      </c>
      <c r="K364" s="6"/>
    </row>
    <row r="365" spans="1:11" ht="24" x14ac:dyDescent="0.25">
      <c r="A365" s="3">
        <v>350</v>
      </c>
      <c r="B365" s="14" t="s">
        <v>25</v>
      </c>
      <c r="C365" s="15" t="str">
        <f>"5/2013-MK-11"</f>
        <v>5/2013-MK-11</v>
      </c>
      <c r="D365" s="15" t="str">
        <f t="shared" si="10"/>
        <v>EUROHERC OSIGURANJE D.D.</v>
      </c>
      <c r="E365" s="16">
        <v>42054</v>
      </c>
      <c r="F365" s="16">
        <v>42419</v>
      </c>
      <c r="G365" s="13">
        <v>3669.7</v>
      </c>
      <c r="H365" s="16">
        <v>42419</v>
      </c>
      <c r="I365" s="13">
        <v>3669.7</v>
      </c>
      <c r="J365" s="13">
        <f t="shared" si="11"/>
        <v>3669.7</v>
      </c>
      <c r="K365" s="6"/>
    </row>
    <row r="366" spans="1:11" ht="24" x14ac:dyDescent="0.25">
      <c r="A366" s="3">
        <v>351</v>
      </c>
      <c r="B366" s="14" t="s">
        <v>90</v>
      </c>
      <c r="C366" s="15" t="str">
        <f>"5/2013-MINGO-5"</f>
        <v>5/2013-MINGO-5</v>
      </c>
      <c r="D366" s="15" t="str">
        <f t="shared" si="10"/>
        <v>EUROHERC OSIGURANJE D.D.</v>
      </c>
      <c r="E366" s="16">
        <v>42054</v>
      </c>
      <c r="F366" s="16">
        <v>42419</v>
      </c>
      <c r="G366" s="13">
        <v>3378.37</v>
      </c>
      <c r="H366" s="16">
        <v>42419</v>
      </c>
      <c r="I366" s="13">
        <v>3378.37</v>
      </c>
      <c r="J366" s="13">
        <f t="shared" si="11"/>
        <v>3378.37</v>
      </c>
      <c r="K366" s="6"/>
    </row>
    <row r="367" spans="1:11" ht="24" x14ac:dyDescent="0.25">
      <c r="A367" s="3">
        <v>352</v>
      </c>
      <c r="B367" s="14" t="s">
        <v>27</v>
      </c>
      <c r="C367" s="15" t="str">
        <f>"5/2013-MUP-44"</f>
        <v>5/2013-MUP-44</v>
      </c>
      <c r="D367" s="15" t="str">
        <f t="shared" si="10"/>
        <v>EUROHERC OSIGURANJE D.D.</v>
      </c>
      <c r="E367" s="16">
        <v>42053</v>
      </c>
      <c r="F367" s="16">
        <v>42418</v>
      </c>
      <c r="G367" s="13">
        <v>32027.85</v>
      </c>
      <c r="H367" s="16">
        <v>42418</v>
      </c>
      <c r="I367" s="13">
        <v>32027.85</v>
      </c>
      <c r="J367" s="13">
        <f t="shared" si="11"/>
        <v>32027.85</v>
      </c>
      <c r="K367" s="6"/>
    </row>
    <row r="368" spans="1:11" ht="24" x14ac:dyDescent="0.25">
      <c r="A368" s="3">
        <v>353</v>
      </c>
      <c r="B368" s="14" t="s">
        <v>27</v>
      </c>
      <c r="C368" s="15" t="str">
        <f>"5/2013-MUP-43"</f>
        <v>5/2013-MUP-43</v>
      </c>
      <c r="D368" s="15" t="str">
        <f t="shared" si="10"/>
        <v>EUROHERC OSIGURANJE D.D.</v>
      </c>
      <c r="E368" s="16">
        <v>42052</v>
      </c>
      <c r="F368" s="16">
        <v>42417</v>
      </c>
      <c r="G368" s="13">
        <v>59635.08</v>
      </c>
      <c r="H368" s="16">
        <v>42417</v>
      </c>
      <c r="I368" s="13">
        <v>59635.08</v>
      </c>
      <c r="J368" s="13">
        <f t="shared" si="11"/>
        <v>59635.08</v>
      </c>
      <c r="K368" s="6"/>
    </row>
    <row r="369" spans="1:11" ht="24" x14ac:dyDescent="0.25">
      <c r="A369" s="3">
        <v>354</v>
      </c>
      <c r="B369" s="14" t="s">
        <v>33</v>
      </c>
      <c r="C369" s="15" t="str">
        <f>"5/2013-MFINCU-18"</f>
        <v>5/2013-MFINCU-18</v>
      </c>
      <c r="D369" s="15" t="str">
        <f t="shared" si="10"/>
        <v>EUROHERC OSIGURANJE D.D.</v>
      </c>
      <c r="E369" s="16">
        <v>42051</v>
      </c>
      <c r="F369" s="16">
        <v>42416</v>
      </c>
      <c r="G369" s="13">
        <v>4026.16</v>
      </c>
      <c r="H369" s="16">
        <v>42416</v>
      </c>
      <c r="I369" s="13">
        <v>4026.16</v>
      </c>
      <c r="J369" s="13">
        <f t="shared" si="11"/>
        <v>4026.16</v>
      </c>
      <c r="K369" s="6"/>
    </row>
    <row r="370" spans="1:11" ht="24" x14ac:dyDescent="0.25">
      <c r="A370" s="3">
        <v>355</v>
      </c>
      <c r="B370" s="14" t="s">
        <v>27</v>
      </c>
      <c r="C370" s="15" t="str">
        <f>"5/2013-MUP-42"</f>
        <v>5/2013-MUP-42</v>
      </c>
      <c r="D370" s="15" t="str">
        <f t="shared" si="10"/>
        <v>EUROHERC OSIGURANJE D.D.</v>
      </c>
      <c r="E370" s="16">
        <v>42051</v>
      </c>
      <c r="F370" s="16">
        <v>42416</v>
      </c>
      <c r="G370" s="13">
        <v>12516.45</v>
      </c>
      <c r="H370" s="16">
        <v>42416</v>
      </c>
      <c r="I370" s="13">
        <v>12516.45</v>
      </c>
      <c r="J370" s="13">
        <f t="shared" si="11"/>
        <v>12516.45</v>
      </c>
      <c r="K370" s="6"/>
    </row>
    <row r="371" spans="1:11" ht="24" x14ac:dyDescent="0.25">
      <c r="A371" s="3">
        <v>356</v>
      </c>
      <c r="B371" s="14" t="s">
        <v>42</v>
      </c>
      <c r="C371" s="15" t="str">
        <f>"5/2013-MORH-11"</f>
        <v>5/2013-MORH-11</v>
      </c>
      <c r="D371" s="15" t="str">
        <f t="shared" si="10"/>
        <v>EUROHERC OSIGURANJE D.D.</v>
      </c>
      <c r="E371" s="16">
        <v>42051</v>
      </c>
      <c r="F371" s="16">
        <v>42416</v>
      </c>
      <c r="G371" s="13">
        <v>10739.85</v>
      </c>
      <c r="H371" s="16">
        <v>42416</v>
      </c>
      <c r="I371" s="13">
        <v>8591.8799999999992</v>
      </c>
      <c r="J371" s="13">
        <f t="shared" si="11"/>
        <v>8591.8799999999992</v>
      </c>
      <c r="K371" s="6"/>
    </row>
    <row r="372" spans="1:11" ht="24" x14ac:dyDescent="0.25">
      <c r="A372" s="3">
        <v>357</v>
      </c>
      <c r="B372" s="14" t="s">
        <v>33</v>
      </c>
      <c r="C372" s="15" t="str">
        <f>"5/2013-MFINCU-17"</f>
        <v>5/2013-MFINCU-17</v>
      </c>
      <c r="D372" s="15" t="str">
        <f t="shared" si="10"/>
        <v>EUROHERC OSIGURANJE D.D.</v>
      </c>
      <c r="E372" s="16">
        <v>42050</v>
      </c>
      <c r="F372" s="16">
        <v>42415</v>
      </c>
      <c r="G372" s="13">
        <v>2011.71</v>
      </c>
      <c r="H372" s="16">
        <v>42415</v>
      </c>
      <c r="I372" s="13">
        <v>2011.71</v>
      </c>
      <c r="J372" s="13">
        <f t="shared" si="11"/>
        <v>2011.71</v>
      </c>
      <c r="K372" s="6"/>
    </row>
    <row r="373" spans="1:11" ht="24" x14ac:dyDescent="0.25">
      <c r="A373" s="3">
        <v>358</v>
      </c>
      <c r="B373" s="14" t="s">
        <v>51</v>
      </c>
      <c r="C373" s="15" t="str">
        <f>"5/2013-MINPOLJ-7"</f>
        <v>5/2013-MINPOLJ-7</v>
      </c>
      <c r="D373" s="15" t="str">
        <f t="shared" si="10"/>
        <v>EUROHERC OSIGURANJE D.D.</v>
      </c>
      <c r="E373" s="16">
        <v>42050</v>
      </c>
      <c r="F373" s="16">
        <v>42415</v>
      </c>
      <c r="G373" s="13">
        <v>3093.01</v>
      </c>
      <c r="H373" s="16">
        <v>42415</v>
      </c>
      <c r="I373" s="13">
        <v>3093.01</v>
      </c>
      <c r="J373" s="13">
        <f t="shared" si="11"/>
        <v>3093.01</v>
      </c>
      <c r="K373" s="6"/>
    </row>
    <row r="374" spans="1:11" ht="24" x14ac:dyDescent="0.25">
      <c r="A374" s="3">
        <v>359</v>
      </c>
      <c r="B374" s="14" t="s">
        <v>27</v>
      </c>
      <c r="C374" s="15" t="str">
        <f>"5/2013-MUP-41"</f>
        <v>5/2013-MUP-41</v>
      </c>
      <c r="D374" s="15" t="str">
        <f t="shared" si="10"/>
        <v>EUROHERC OSIGURANJE D.D.</v>
      </c>
      <c r="E374" s="16">
        <v>42050</v>
      </c>
      <c r="F374" s="16">
        <v>42415</v>
      </c>
      <c r="G374" s="13">
        <v>2136.2600000000002</v>
      </c>
      <c r="H374" s="16">
        <v>42415</v>
      </c>
      <c r="I374" s="13">
        <v>2136.2600000000002</v>
      </c>
      <c r="J374" s="13">
        <f t="shared" si="11"/>
        <v>2136.2600000000002</v>
      </c>
      <c r="K374" s="6"/>
    </row>
    <row r="375" spans="1:11" ht="24" x14ac:dyDescent="0.25">
      <c r="A375" s="3">
        <v>360</v>
      </c>
      <c r="B375" s="14" t="s">
        <v>27</v>
      </c>
      <c r="C375" s="15" t="str">
        <f>"5/2013-MUP-40"</f>
        <v>5/2013-MUP-40</v>
      </c>
      <c r="D375" s="15" t="str">
        <f t="shared" si="10"/>
        <v>EUROHERC OSIGURANJE D.D.</v>
      </c>
      <c r="E375" s="16">
        <v>42049</v>
      </c>
      <c r="F375" s="16">
        <v>42414</v>
      </c>
      <c r="G375" s="13">
        <v>4370.7299999999996</v>
      </c>
      <c r="H375" s="16">
        <v>42414</v>
      </c>
      <c r="I375" s="13">
        <v>4370.7299999999996</v>
      </c>
      <c r="J375" s="13">
        <f t="shared" si="11"/>
        <v>4370.7299999999996</v>
      </c>
      <c r="K375" s="6"/>
    </row>
    <row r="376" spans="1:11" ht="24" x14ac:dyDescent="0.25">
      <c r="A376" s="3">
        <v>361</v>
      </c>
      <c r="B376" s="14" t="s">
        <v>35</v>
      </c>
      <c r="C376" s="15" t="str">
        <f>"5/2013-DGU-20"</f>
        <v>5/2013-DGU-20</v>
      </c>
      <c r="D376" s="15" t="str">
        <f t="shared" si="10"/>
        <v>EUROHERC OSIGURANJE D.D.</v>
      </c>
      <c r="E376" s="16">
        <v>42049</v>
      </c>
      <c r="F376" s="16">
        <v>42414</v>
      </c>
      <c r="G376" s="13">
        <v>1458.32</v>
      </c>
      <c r="H376" s="16">
        <v>42414</v>
      </c>
      <c r="I376" s="13">
        <v>1458.32</v>
      </c>
      <c r="J376" s="13">
        <f t="shared" si="11"/>
        <v>1458.32</v>
      </c>
      <c r="K376" s="6"/>
    </row>
    <row r="377" spans="1:11" ht="24" x14ac:dyDescent="0.25">
      <c r="A377" s="3">
        <v>362</v>
      </c>
      <c r="B377" s="14" t="s">
        <v>42</v>
      </c>
      <c r="C377" s="15" t="str">
        <f>"5/2013-MORH-10"</f>
        <v>5/2013-MORH-10</v>
      </c>
      <c r="D377" s="15" t="str">
        <f t="shared" si="10"/>
        <v>EUROHERC OSIGURANJE D.D.</v>
      </c>
      <c r="E377" s="16">
        <v>42049</v>
      </c>
      <c r="F377" s="16">
        <v>42414</v>
      </c>
      <c r="G377" s="13">
        <v>2811.82</v>
      </c>
      <c r="H377" s="16">
        <v>42414</v>
      </c>
      <c r="I377" s="13">
        <v>2249.46</v>
      </c>
      <c r="J377" s="13">
        <f t="shared" si="11"/>
        <v>2249.46</v>
      </c>
      <c r="K377" s="6"/>
    </row>
    <row r="378" spans="1:11" ht="24" x14ac:dyDescent="0.25">
      <c r="A378" s="3">
        <v>363</v>
      </c>
      <c r="B378" s="14" t="s">
        <v>33</v>
      </c>
      <c r="C378" s="15" t="str">
        <f>"5/2013-MFINCU-2"</f>
        <v>5/2013-MFINCU-2</v>
      </c>
      <c r="D378" s="15" t="str">
        <f t="shared" si="10"/>
        <v>EUROHERC OSIGURANJE D.D.</v>
      </c>
      <c r="E378" s="16">
        <v>42048</v>
      </c>
      <c r="F378" s="16">
        <v>42413</v>
      </c>
      <c r="G378" s="13">
        <v>63.5</v>
      </c>
      <c r="H378" s="16">
        <v>42413</v>
      </c>
      <c r="I378" s="13">
        <v>63.5</v>
      </c>
      <c r="J378" s="13">
        <f t="shared" si="11"/>
        <v>63.5</v>
      </c>
      <c r="K378" s="6"/>
    </row>
    <row r="379" spans="1:11" ht="24" x14ac:dyDescent="0.25">
      <c r="A379" s="3">
        <v>364</v>
      </c>
      <c r="B379" s="14" t="s">
        <v>27</v>
      </c>
      <c r="C379" s="15" t="str">
        <f>"5/2013-MUP-39"</f>
        <v>5/2013-MUP-39</v>
      </c>
      <c r="D379" s="15" t="str">
        <f t="shared" si="10"/>
        <v>EUROHERC OSIGURANJE D.D.</v>
      </c>
      <c r="E379" s="16">
        <v>42048</v>
      </c>
      <c r="F379" s="16">
        <v>42413</v>
      </c>
      <c r="G379" s="13">
        <v>73112.09</v>
      </c>
      <c r="H379" s="16">
        <v>42413</v>
      </c>
      <c r="I379" s="13">
        <v>73112.09</v>
      </c>
      <c r="J379" s="13">
        <f t="shared" si="11"/>
        <v>73112.09</v>
      </c>
      <c r="K379" s="6"/>
    </row>
    <row r="380" spans="1:11" ht="24" x14ac:dyDescent="0.25">
      <c r="A380" s="3">
        <v>365</v>
      </c>
      <c r="B380" s="14" t="s">
        <v>39</v>
      </c>
      <c r="C380" s="15" t="str">
        <f>"5/2013-MVEP-1"</f>
        <v>5/2013-MVEP-1</v>
      </c>
      <c r="D380" s="15" t="str">
        <f t="shared" si="10"/>
        <v>EUROHERC OSIGURANJE D.D.</v>
      </c>
      <c r="E380" s="16">
        <v>42048</v>
      </c>
      <c r="F380" s="16">
        <v>42413</v>
      </c>
      <c r="G380" s="13">
        <v>8184.53</v>
      </c>
      <c r="H380" s="16">
        <v>42413</v>
      </c>
      <c r="I380" s="13">
        <v>8184.53</v>
      </c>
      <c r="J380" s="13">
        <f t="shared" si="11"/>
        <v>8184.53</v>
      </c>
      <c r="K380" s="6"/>
    </row>
    <row r="381" spans="1:11" ht="24" x14ac:dyDescent="0.25">
      <c r="A381" s="3">
        <v>366</v>
      </c>
      <c r="B381" s="14" t="s">
        <v>36</v>
      </c>
      <c r="C381" s="15" t="str">
        <f>"5/2013-MZ-3"</f>
        <v>5/2013-MZ-3</v>
      </c>
      <c r="D381" s="15" t="str">
        <f t="shared" si="10"/>
        <v>EUROHERC OSIGURANJE D.D.</v>
      </c>
      <c r="E381" s="16">
        <v>42047</v>
      </c>
      <c r="F381" s="16">
        <v>42412</v>
      </c>
      <c r="G381" s="13">
        <v>2382.37</v>
      </c>
      <c r="H381" s="16">
        <v>42412</v>
      </c>
      <c r="I381" s="13">
        <v>2382.37</v>
      </c>
      <c r="J381" s="13">
        <f t="shared" si="11"/>
        <v>2382.37</v>
      </c>
      <c r="K381" s="6"/>
    </row>
    <row r="382" spans="1:11" ht="24" x14ac:dyDescent="0.25">
      <c r="A382" s="3">
        <v>367</v>
      </c>
      <c r="B382" s="14" t="s">
        <v>51</v>
      </c>
      <c r="C382" s="15" t="str">
        <f>"5/2013-MINPOLJ-6"</f>
        <v>5/2013-MINPOLJ-6</v>
      </c>
      <c r="D382" s="15" t="str">
        <f t="shared" si="10"/>
        <v>EUROHERC OSIGURANJE D.D.</v>
      </c>
      <c r="E382" s="16">
        <v>42047</v>
      </c>
      <c r="F382" s="16">
        <v>42412</v>
      </c>
      <c r="G382" s="13">
        <v>2042.03</v>
      </c>
      <c r="H382" s="16">
        <v>42412</v>
      </c>
      <c r="I382" s="13">
        <v>2042.03</v>
      </c>
      <c r="J382" s="13">
        <f t="shared" si="11"/>
        <v>2042.03</v>
      </c>
      <c r="K382" s="6"/>
    </row>
    <row r="383" spans="1:11" ht="24" x14ac:dyDescent="0.25">
      <c r="A383" s="3">
        <v>368</v>
      </c>
      <c r="B383" s="14" t="s">
        <v>27</v>
      </c>
      <c r="C383" s="15" t="str">
        <f>"5/2013-MUP-56"</f>
        <v>5/2013-MUP-56</v>
      </c>
      <c r="D383" s="15" t="str">
        <f t="shared" si="10"/>
        <v>EUROHERC OSIGURANJE D.D.</v>
      </c>
      <c r="E383" s="16">
        <v>42047</v>
      </c>
      <c r="F383" s="16">
        <v>42412</v>
      </c>
      <c r="G383" s="13">
        <v>2113.46</v>
      </c>
      <c r="H383" s="16">
        <v>42412</v>
      </c>
      <c r="I383" s="13">
        <v>2113.46</v>
      </c>
      <c r="J383" s="13">
        <f t="shared" si="11"/>
        <v>2113.46</v>
      </c>
      <c r="K383" s="6"/>
    </row>
    <row r="384" spans="1:11" ht="24" x14ac:dyDescent="0.25">
      <c r="A384" s="3">
        <v>369</v>
      </c>
      <c r="B384" s="14" t="s">
        <v>25</v>
      </c>
      <c r="C384" s="15" t="str">
        <f>"5/2013-MK-10"</f>
        <v>5/2013-MK-10</v>
      </c>
      <c r="D384" s="15" t="str">
        <f t="shared" si="10"/>
        <v>EUROHERC OSIGURANJE D.D.</v>
      </c>
      <c r="E384" s="16">
        <v>42046</v>
      </c>
      <c r="F384" s="16">
        <v>42411</v>
      </c>
      <c r="G384" s="13">
        <v>6109.71</v>
      </c>
      <c r="H384" s="16">
        <v>42411</v>
      </c>
      <c r="I384" s="13">
        <v>6109.71</v>
      </c>
      <c r="J384" s="13">
        <f t="shared" si="11"/>
        <v>6109.71</v>
      </c>
      <c r="K384" s="6"/>
    </row>
    <row r="385" spans="1:11" ht="24" x14ac:dyDescent="0.25">
      <c r="A385" s="3">
        <v>370</v>
      </c>
      <c r="B385" s="14" t="s">
        <v>27</v>
      </c>
      <c r="C385" s="15" t="str">
        <f>"5/2013-MUP-38"</f>
        <v>5/2013-MUP-38</v>
      </c>
      <c r="D385" s="15" t="str">
        <f t="shared" si="10"/>
        <v>EUROHERC OSIGURANJE D.D.</v>
      </c>
      <c r="E385" s="16">
        <v>42046</v>
      </c>
      <c r="F385" s="16">
        <v>42411</v>
      </c>
      <c r="G385" s="13">
        <v>1628.2</v>
      </c>
      <c r="H385" s="16">
        <v>42411</v>
      </c>
      <c r="I385" s="13">
        <v>1628.2</v>
      </c>
      <c r="J385" s="13">
        <f t="shared" si="11"/>
        <v>1628.2</v>
      </c>
      <c r="K385" s="6"/>
    </row>
    <row r="386" spans="1:11" ht="24" x14ac:dyDescent="0.25">
      <c r="A386" s="3">
        <v>371</v>
      </c>
      <c r="B386" s="14" t="s">
        <v>90</v>
      </c>
      <c r="C386" s="15" t="str">
        <f>"5/2013-MINGO-4"</f>
        <v>5/2013-MINGO-4</v>
      </c>
      <c r="D386" s="15" t="str">
        <f t="shared" si="10"/>
        <v>EUROHERC OSIGURANJE D.D.</v>
      </c>
      <c r="E386" s="16">
        <v>42046</v>
      </c>
      <c r="F386" s="16">
        <v>42411</v>
      </c>
      <c r="G386" s="13">
        <v>6672.17</v>
      </c>
      <c r="H386" s="16">
        <v>42411</v>
      </c>
      <c r="I386" s="13">
        <v>6672.17</v>
      </c>
      <c r="J386" s="13">
        <f t="shared" si="11"/>
        <v>6672.17</v>
      </c>
      <c r="K386" s="6"/>
    </row>
    <row r="387" spans="1:11" ht="24" x14ac:dyDescent="0.25">
      <c r="A387" s="3">
        <v>372</v>
      </c>
      <c r="B387" s="14" t="s">
        <v>45</v>
      </c>
      <c r="C387" s="15" t="str">
        <f>"5/2013-MZOP-1"</f>
        <v>5/2013-MZOP-1</v>
      </c>
      <c r="D387" s="15" t="str">
        <f t="shared" si="10"/>
        <v>EUROHERC OSIGURANJE D.D.</v>
      </c>
      <c r="E387" s="16">
        <v>42045</v>
      </c>
      <c r="F387" s="16">
        <v>42410</v>
      </c>
      <c r="G387" s="13">
        <v>3880.4</v>
      </c>
      <c r="H387" s="16">
        <v>42410</v>
      </c>
      <c r="I387" s="13">
        <v>3880.4</v>
      </c>
      <c r="J387" s="13">
        <f t="shared" si="11"/>
        <v>3880.4</v>
      </c>
      <c r="K387" s="6"/>
    </row>
    <row r="388" spans="1:11" ht="24" x14ac:dyDescent="0.25">
      <c r="A388" s="3">
        <v>373</v>
      </c>
      <c r="B388" s="14" t="s">
        <v>90</v>
      </c>
      <c r="C388" s="15" t="str">
        <f>"5/2013-MINGO-3"</f>
        <v>5/2013-MINGO-3</v>
      </c>
      <c r="D388" s="15" t="str">
        <f t="shared" si="10"/>
        <v>EUROHERC OSIGURANJE D.D.</v>
      </c>
      <c r="E388" s="16">
        <v>42045</v>
      </c>
      <c r="F388" s="16">
        <v>42410</v>
      </c>
      <c r="G388" s="13">
        <v>4391.87</v>
      </c>
      <c r="H388" s="16">
        <v>42410</v>
      </c>
      <c r="I388" s="13">
        <v>4391.87</v>
      </c>
      <c r="J388" s="13">
        <f t="shared" si="11"/>
        <v>4391.87</v>
      </c>
      <c r="K388" s="6"/>
    </row>
    <row r="389" spans="1:11" ht="24" x14ac:dyDescent="0.25">
      <c r="A389" s="3">
        <v>374</v>
      </c>
      <c r="B389" s="14" t="s">
        <v>42</v>
      </c>
      <c r="C389" s="15" t="str">
        <f>"5/2013-MORH-9"</f>
        <v>5/2013-MORH-9</v>
      </c>
      <c r="D389" s="15" t="str">
        <f t="shared" si="10"/>
        <v>EUROHERC OSIGURANJE D.D.</v>
      </c>
      <c r="E389" s="16">
        <v>42045</v>
      </c>
      <c r="F389" s="16">
        <v>42410</v>
      </c>
      <c r="G389" s="13">
        <v>15493.9</v>
      </c>
      <c r="H389" s="16">
        <v>42410</v>
      </c>
      <c r="I389" s="13">
        <v>12395.12</v>
      </c>
      <c r="J389" s="13">
        <f t="shared" si="11"/>
        <v>12395.12</v>
      </c>
      <c r="K389" s="6"/>
    </row>
    <row r="390" spans="1:11" ht="24" x14ac:dyDescent="0.25">
      <c r="A390" s="3">
        <v>375</v>
      </c>
      <c r="B390" s="14" t="s">
        <v>35</v>
      </c>
      <c r="C390" s="15" t="str">
        <f>"5/2013-DGU-19"</f>
        <v>5/2013-DGU-19</v>
      </c>
      <c r="D390" s="15" t="str">
        <f t="shared" si="10"/>
        <v>EUROHERC OSIGURANJE D.D.</v>
      </c>
      <c r="E390" s="16">
        <v>42045</v>
      </c>
      <c r="F390" s="16">
        <v>42410</v>
      </c>
      <c r="G390" s="13">
        <v>3934.36</v>
      </c>
      <c r="H390" s="16">
        <v>42410</v>
      </c>
      <c r="I390" s="13">
        <v>3934.36</v>
      </c>
      <c r="J390" s="13">
        <f t="shared" si="11"/>
        <v>3934.36</v>
      </c>
      <c r="K390" s="6"/>
    </row>
    <row r="391" spans="1:11" ht="24" x14ac:dyDescent="0.25">
      <c r="A391" s="3">
        <v>376</v>
      </c>
      <c r="B391" s="14" t="s">
        <v>27</v>
      </c>
      <c r="C391" s="15" t="str">
        <f>"5/2013-MUP-37"</f>
        <v>5/2013-MUP-37</v>
      </c>
      <c r="D391" s="15" t="str">
        <f t="shared" si="10"/>
        <v>EUROHERC OSIGURANJE D.D.</v>
      </c>
      <c r="E391" s="16">
        <v>42045</v>
      </c>
      <c r="F391" s="16">
        <v>42410</v>
      </c>
      <c r="G391" s="13">
        <v>24982.73</v>
      </c>
      <c r="H391" s="16">
        <v>42410</v>
      </c>
      <c r="I391" s="13">
        <v>24982.73</v>
      </c>
      <c r="J391" s="13">
        <f t="shared" si="11"/>
        <v>24982.73</v>
      </c>
      <c r="K391" s="6"/>
    </row>
    <row r="392" spans="1:11" ht="24" x14ac:dyDescent="0.25">
      <c r="A392" s="3">
        <v>377</v>
      </c>
      <c r="B392" s="14" t="s">
        <v>332</v>
      </c>
      <c r="C392" s="15" t="str">
        <f>"5/2013-ZDOV-1"</f>
        <v>5/2013-ZDOV-1</v>
      </c>
      <c r="D392" s="15" t="str">
        <f t="shared" si="10"/>
        <v>EUROHERC OSIGURANJE D.D.</v>
      </c>
      <c r="E392" s="16">
        <v>42045</v>
      </c>
      <c r="F392" s="16">
        <v>42410</v>
      </c>
      <c r="G392" s="13">
        <v>2176.6</v>
      </c>
      <c r="H392" s="16">
        <v>42410</v>
      </c>
      <c r="I392" s="13">
        <v>1741.28</v>
      </c>
      <c r="J392" s="13">
        <f t="shared" si="11"/>
        <v>1741.28</v>
      </c>
      <c r="K392" s="6"/>
    </row>
    <row r="393" spans="1:11" ht="24" x14ac:dyDescent="0.25">
      <c r="A393" s="3">
        <v>378</v>
      </c>
      <c r="B393" s="14" t="s">
        <v>27</v>
      </c>
      <c r="C393" s="15" t="str">
        <f>"5/2013-MUP-36"</f>
        <v>5/2013-MUP-36</v>
      </c>
      <c r="D393" s="15" t="str">
        <f t="shared" si="10"/>
        <v>EUROHERC OSIGURANJE D.D.</v>
      </c>
      <c r="E393" s="16">
        <v>42044</v>
      </c>
      <c r="F393" s="16">
        <v>42409</v>
      </c>
      <c r="G393" s="13">
        <v>9822.02</v>
      </c>
      <c r="H393" s="16">
        <v>42409</v>
      </c>
      <c r="I393" s="13">
        <v>9822.02</v>
      </c>
      <c r="J393" s="13">
        <f t="shared" si="11"/>
        <v>9822.02</v>
      </c>
      <c r="K393" s="6"/>
    </row>
    <row r="394" spans="1:11" ht="24" x14ac:dyDescent="0.25">
      <c r="A394" s="3">
        <v>379</v>
      </c>
      <c r="B394" s="14" t="s">
        <v>42</v>
      </c>
      <c r="C394" s="15" t="str">
        <f>"5/2013-MORH-8"</f>
        <v>5/2013-MORH-8</v>
      </c>
      <c r="D394" s="15" t="str">
        <f t="shared" ref="D394:D451" si="12">CONCATENATE("EUROHERC OSIGURANJE D.D.")</f>
        <v>EUROHERC OSIGURANJE D.D.</v>
      </c>
      <c r="E394" s="16">
        <v>42043</v>
      </c>
      <c r="F394" s="16">
        <v>42408</v>
      </c>
      <c r="G394" s="13">
        <v>3336.08</v>
      </c>
      <c r="H394" s="16">
        <v>42408</v>
      </c>
      <c r="I394" s="13">
        <v>2669.52</v>
      </c>
      <c r="J394" s="13">
        <f t="shared" si="11"/>
        <v>2669.52</v>
      </c>
      <c r="K394" s="6"/>
    </row>
    <row r="395" spans="1:11" ht="24" x14ac:dyDescent="0.25">
      <c r="A395" s="3">
        <v>380</v>
      </c>
      <c r="B395" s="14" t="s">
        <v>27</v>
      </c>
      <c r="C395" s="15" t="str">
        <f>"5/2013-MUP-35"</f>
        <v>5/2013-MUP-35</v>
      </c>
      <c r="D395" s="15" t="str">
        <f t="shared" si="12"/>
        <v>EUROHERC OSIGURANJE D.D.</v>
      </c>
      <c r="E395" s="16">
        <v>42043</v>
      </c>
      <c r="F395" s="16">
        <v>42408</v>
      </c>
      <c r="G395" s="13">
        <v>8926.6</v>
      </c>
      <c r="H395" s="16">
        <v>42408</v>
      </c>
      <c r="I395" s="13">
        <v>8926.6</v>
      </c>
      <c r="J395" s="13">
        <f t="shared" ref="J395:J452" si="13">I395</f>
        <v>8926.6</v>
      </c>
      <c r="K395" s="6"/>
    </row>
    <row r="396" spans="1:11" ht="24" x14ac:dyDescent="0.25">
      <c r="A396" s="3">
        <v>381</v>
      </c>
      <c r="B396" s="14" t="s">
        <v>33</v>
      </c>
      <c r="C396" s="15" t="str">
        <f>"5/2013-MFINCU-16"</f>
        <v>5/2013-MFINCU-16</v>
      </c>
      <c r="D396" s="15" t="str">
        <f t="shared" si="12"/>
        <v>EUROHERC OSIGURANJE D.D.</v>
      </c>
      <c r="E396" s="16">
        <v>42042</v>
      </c>
      <c r="F396" s="16">
        <v>42407</v>
      </c>
      <c r="G396" s="13">
        <v>3532.51</v>
      </c>
      <c r="H396" s="16">
        <v>42407</v>
      </c>
      <c r="I396" s="13">
        <v>3532.51</v>
      </c>
      <c r="J396" s="13">
        <f t="shared" si="13"/>
        <v>3532.51</v>
      </c>
      <c r="K396" s="6"/>
    </row>
    <row r="397" spans="1:11" ht="24" x14ac:dyDescent="0.25">
      <c r="A397" s="3">
        <v>382</v>
      </c>
      <c r="B397" s="14" t="s">
        <v>25</v>
      </c>
      <c r="C397" s="15" t="str">
        <f>"5/2013-MK-9"</f>
        <v>5/2013-MK-9</v>
      </c>
      <c r="D397" s="15" t="str">
        <f t="shared" si="12"/>
        <v>EUROHERC OSIGURANJE D.D.</v>
      </c>
      <c r="E397" s="16">
        <v>42042</v>
      </c>
      <c r="F397" s="16">
        <v>42407</v>
      </c>
      <c r="G397" s="13">
        <v>1943.98</v>
      </c>
      <c r="H397" s="16">
        <v>42407</v>
      </c>
      <c r="I397" s="13">
        <v>1943.98</v>
      </c>
      <c r="J397" s="13">
        <f t="shared" si="13"/>
        <v>1943.98</v>
      </c>
      <c r="K397" s="6"/>
    </row>
    <row r="398" spans="1:11" ht="24" x14ac:dyDescent="0.25">
      <c r="A398" s="3">
        <v>383</v>
      </c>
      <c r="B398" s="14" t="s">
        <v>27</v>
      </c>
      <c r="C398" s="15" t="str">
        <f>"5/2013-MUP-34"</f>
        <v>5/2013-MUP-34</v>
      </c>
      <c r="D398" s="15" t="str">
        <f t="shared" si="12"/>
        <v>EUROHERC OSIGURANJE D.D.</v>
      </c>
      <c r="E398" s="16">
        <v>42042</v>
      </c>
      <c r="F398" s="16">
        <v>42407</v>
      </c>
      <c r="G398" s="13">
        <v>47569.64</v>
      </c>
      <c r="H398" s="16">
        <v>42407</v>
      </c>
      <c r="I398" s="13">
        <v>47569.64</v>
      </c>
      <c r="J398" s="13">
        <f t="shared" si="13"/>
        <v>47569.64</v>
      </c>
      <c r="K398" s="6"/>
    </row>
    <row r="399" spans="1:11" ht="24" x14ac:dyDescent="0.25">
      <c r="A399" s="3">
        <v>384</v>
      </c>
      <c r="B399" s="14" t="s">
        <v>35</v>
      </c>
      <c r="C399" s="15" t="str">
        <f>"5/2013-DGU-18"</f>
        <v>5/2013-DGU-18</v>
      </c>
      <c r="D399" s="15" t="str">
        <f t="shared" si="12"/>
        <v>EUROHERC OSIGURANJE D.D.</v>
      </c>
      <c r="E399" s="16">
        <v>42042</v>
      </c>
      <c r="F399" s="16">
        <v>42407</v>
      </c>
      <c r="G399" s="13">
        <v>1605.69</v>
      </c>
      <c r="H399" s="16">
        <v>42407</v>
      </c>
      <c r="I399" s="13">
        <v>1605.69</v>
      </c>
      <c r="J399" s="13">
        <f t="shared" si="13"/>
        <v>1605.69</v>
      </c>
      <c r="K399" s="6"/>
    </row>
    <row r="400" spans="1:11" ht="24" x14ac:dyDescent="0.25">
      <c r="A400" s="3">
        <v>385</v>
      </c>
      <c r="B400" s="14" t="s">
        <v>61</v>
      </c>
      <c r="C400" s="15" t="str">
        <f>"5/2013-DZM-6"</f>
        <v>5/2013-DZM-6</v>
      </c>
      <c r="D400" s="15" t="str">
        <f t="shared" si="12"/>
        <v>EUROHERC OSIGURANJE D.D.</v>
      </c>
      <c r="E400" s="16">
        <v>42041</v>
      </c>
      <c r="F400" s="16">
        <v>42406</v>
      </c>
      <c r="G400" s="13">
        <v>1406.96</v>
      </c>
      <c r="H400" s="16">
        <v>42406</v>
      </c>
      <c r="I400" s="13">
        <v>1223.44</v>
      </c>
      <c r="J400" s="13">
        <f t="shared" si="13"/>
        <v>1223.44</v>
      </c>
      <c r="K400" s="6"/>
    </row>
    <row r="401" spans="1:11" ht="24" x14ac:dyDescent="0.25">
      <c r="A401" s="3">
        <v>386</v>
      </c>
      <c r="B401" s="14" t="s">
        <v>35</v>
      </c>
      <c r="C401" s="15" t="str">
        <f>"5/2013-DGU-17"</f>
        <v>5/2013-DGU-17</v>
      </c>
      <c r="D401" s="15" t="str">
        <f t="shared" si="12"/>
        <v>EUROHERC OSIGURANJE D.D.</v>
      </c>
      <c r="E401" s="16">
        <v>42041</v>
      </c>
      <c r="F401" s="16">
        <v>42406</v>
      </c>
      <c r="G401" s="13">
        <v>1212.99</v>
      </c>
      <c r="H401" s="16">
        <v>42406</v>
      </c>
      <c r="I401" s="13">
        <v>1212.99</v>
      </c>
      <c r="J401" s="13">
        <f t="shared" si="13"/>
        <v>1212.99</v>
      </c>
      <c r="K401" s="6"/>
    </row>
    <row r="402" spans="1:11" ht="24" x14ac:dyDescent="0.25">
      <c r="A402" s="3">
        <v>387</v>
      </c>
      <c r="B402" s="14" t="s">
        <v>27</v>
      </c>
      <c r="C402" s="15" t="str">
        <f>"5/2013-MUP-33"</f>
        <v>5/2013-MUP-33</v>
      </c>
      <c r="D402" s="15" t="str">
        <f t="shared" si="12"/>
        <v>EUROHERC OSIGURANJE D.D.</v>
      </c>
      <c r="E402" s="16">
        <v>42040</v>
      </c>
      <c r="F402" s="16">
        <v>42405</v>
      </c>
      <c r="G402" s="13">
        <v>70660.44</v>
      </c>
      <c r="H402" s="16">
        <v>42405</v>
      </c>
      <c r="I402" s="13">
        <v>70660.44</v>
      </c>
      <c r="J402" s="13">
        <f t="shared" si="13"/>
        <v>70660.44</v>
      </c>
      <c r="K402" s="6"/>
    </row>
    <row r="403" spans="1:11" ht="24" x14ac:dyDescent="0.25">
      <c r="A403" s="3">
        <v>388</v>
      </c>
      <c r="B403" s="14" t="s">
        <v>61</v>
      </c>
      <c r="C403" s="15" t="str">
        <f>"5/2013-DZM-5"</f>
        <v>5/2013-DZM-5</v>
      </c>
      <c r="D403" s="15" t="str">
        <f t="shared" si="12"/>
        <v>EUROHERC OSIGURANJE D.D.</v>
      </c>
      <c r="E403" s="16">
        <v>42040</v>
      </c>
      <c r="F403" s="16">
        <v>42405</v>
      </c>
      <c r="G403" s="13">
        <v>1548.52</v>
      </c>
      <c r="H403" s="16">
        <v>42405</v>
      </c>
      <c r="I403" s="13">
        <v>1346.54</v>
      </c>
      <c r="J403" s="13">
        <f t="shared" si="13"/>
        <v>1346.54</v>
      </c>
      <c r="K403" s="6"/>
    </row>
    <row r="404" spans="1:11" ht="24" x14ac:dyDescent="0.25">
      <c r="A404" s="3">
        <v>389</v>
      </c>
      <c r="B404" s="14" t="s">
        <v>36</v>
      </c>
      <c r="C404" s="15" t="str">
        <f>"5/2013-MZ-2"</f>
        <v>5/2013-MZ-2</v>
      </c>
      <c r="D404" s="15" t="str">
        <f t="shared" si="12"/>
        <v>EUROHERC OSIGURANJE D.D.</v>
      </c>
      <c r="E404" s="16">
        <v>42040</v>
      </c>
      <c r="F404" s="16">
        <v>42405</v>
      </c>
      <c r="G404" s="13">
        <v>17697.68</v>
      </c>
      <c r="H404" s="16">
        <v>42405</v>
      </c>
      <c r="I404" s="13">
        <v>17697.68</v>
      </c>
      <c r="J404" s="13">
        <f t="shared" si="13"/>
        <v>17697.68</v>
      </c>
      <c r="K404" s="6"/>
    </row>
    <row r="405" spans="1:11" ht="24" x14ac:dyDescent="0.25">
      <c r="A405" s="3">
        <v>390</v>
      </c>
      <c r="B405" s="14" t="s">
        <v>27</v>
      </c>
      <c r="C405" s="15" t="str">
        <f>"5/2013-MUP-32"</f>
        <v>5/2013-MUP-32</v>
      </c>
      <c r="D405" s="15" t="str">
        <f t="shared" si="12"/>
        <v>EUROHERC OSIGURANJE D.D.</v>
      </c>
      <c r="E405" s="16">
        <v>42039</v>
      </c>
      <c r="F405" s="16">
        <v>42404</v>
      </c>
      <c r="G405" s="13">
        <v>46217.23</v>
      </c>
      <c r="H405" s="16">
        <v>42404</v>
      </c>
      <c r="I405" s="13">
        <v>46217.23</v>
      </c>
      <c r="J405" s="13">
        <f t="shared" si="13"/>
        <v>46217.23</v>
      </c>
      <c r="K405" s="6"/>
    </row>
    <row r="406" spans="1:11" ht="24" x14ac:dyDescent="0.25">
      <c r="A406" s="3">
        <v>391</v>
      </c>
      <c r="B406" s="14" t="s">
        <v>58</v>
      </c>
      <c r="C406" s="15" t="str">
        <f>"5/2013-MZOS-3"</f>
        <v>5/2013-MZOS-3</v>
      </c>
      <c r="D406" s="15" t="str">
        <f t="shared" si="12"/>
        <v>EUROHERC OSIGURANJE D.D.</v>
      </c>
      <c r="E406" s="16">
        <v>42039</v>
      </c>
      <c r="F406" s="16">
        <v>42404</v>
      </c>
      <c r="G406" s="13">
        <v>6668.34</v>
      </c>
      <c r="H406" s="16">
        <v>42404</v>
      </c>
      <c r="I406" s="13">
        <v>6668.34</v>
      </c>
      <c r="J406" s="13">
        <f t="shared" si="13"/>
        <v>6668.34</v>
      </c>
      <c r="K406" s="6"/>
    </row>
    <row r="407" spans="1:11" ht="24" x14ac:dyDescent="0.25">
      <c r="A407" s="3">
        <v>392</v>
      </c>
      <c r="B407" s="14" t="s">
        <v>27</v>
      </c>
      <c r="C407" s="15" t="str">
        <f>"5/2013-MUP-31"</f>
        <v>5/2013-MUP-31</v>
      </c>
      <c r="D407" s="15" t="str">
        <f t="shared" si="12"/>
        <v>EUROHERC OSIGURANJE D.D.</v>
      </c>
      <c r="E407" s="16">
        <v>42038</v>
      </c>
      <c r="F407" s="16">
        <v>42403</v>
      </c>
      <c r="G407" s="13">
        <v>97490.35</v>
      </c>
      <c r="H407" s="16">
        <v>42403</v>
      </c>
      <c r="I407" s="13">
        <v>97490.35</v>
      </c>
      <c r="J407" s="13">
        <f t="shared" si="13"/>
        <v>97490.35</v>
      </c>
      <c r="K407" s="6"/>
    </row>
    <row r="408" spans="1:11" ht="24" x14ac:dyDescent="0.25">
      <c r="A408" s="3">
        <v>393</v>
      </c>
      <c r="B408" s="14" t="s">
        <v>27</v>
      </c>
      <c r="C408" s="15" t="str">
        <f>"5/2013-MUP-30"</f>
        <v>5/2013-MUP-30</v>
      </c>
      <c r="D408" s="15" t="str">
        <f t="shared" si="12"/>
        <v>EUROHERC OSIGURANJE D.D.</v>
      </c>
      <c r="E408" s="16">
        <v>42037</v>
      </c>
      <c r="F408" s="16">
        <v>42402</v>
      </c>
      <c r="G408" s="13">
        <v>5692.86</v>
      </c>
      <c r="H408" s="16">
        <v>42402</v>
      </c>
      <c r="I408" s="13">
        <v>5692.86</v>
      </c>
      <c r="J408" s="13">
        <f t="shared" si="13"/>
        <v>5692.86</v>
      </c>
      <c r="K408" s="6"/>
    </row>
    <row r="409" spans="1:11" ht="24" x14ac:dyDescent="0.25">
      <c r="A409" s="3">
        <v>394</v>
      </c>
      <c r="B409" s="14" t="s">
        <v>61</v>
      </c>
      <c r="C409" s="15" t="str">
        <f>"5/2013-DZM-4"</f>
        <v>5/2013-DZM-4</v>
      </c>
      <c r="D409" s="15" t="str">
        <f t="shared" si="12"/>
        <v>EUROHERC OSIGURANJE D.D.</v>
      </c>
      <c r="E409" s="16">
        <v>42037</v>
      </c>
      <c r="F409" s="16">
        <v>42402</v>
      </c>
      <c r="G409" s="13">
        <v>1871.87</v>
      </c>
      <c r="H409" s="16">
        <v>42402</v>
      </c>
      <c r="I409" s="13">
        <v>1627.71</v>
      </c>
      <c r="J409" s="13">
        <f t="shared" si="13"/>
        <v>1627.71</v>
      </c>
      <c r="K409" s="6"/>
    </row>
    <row r="410" spans="1:11" ht="24" x14ac:dyDescent="0.25">
      <c r="A410" s="3">
        <v>395</v>
      </c>
      <c r="B410" s="14" t="s">
        <v>321</v>
      </c>
      <c r="C410" s="15" t="str">
        <f>"5/2013-TSZ-1"</f>
        <v>5/2013-TSZ-1</v>
      </c>
      <c r="D410" s="15" t="str">
        <f t="shared" si="12"/>
        <v>EUROHERC OSIGURANJE D.D.</v>
      </c>
      <c r="E410" s="16">
        <v>42037</v>
      </c>
      <c r="F410" s="16">
        <v>42402</v>
      </c>
      <c r="G410" s="13">
        <v>1940.2</v>
      </c>
      <c r="H410" s="16">
        <v>42402</v>
      </c>
      <c r="I410" s="13">
        <v>1940.2</v>
      </c>
      <c r="J410" s="13">
        <f t="shared" si="13"/>
        <v>1940.2</v>
      </c>
      <c r="K410" s="6"/>
    </row>
    <row r="411" spans="1:11" ht="24" x14ac:dyDescent="0.25">
      <c r="A411" s="3">
        <v>396</v>
      </c>
      <c r="B411" s="14" t="s">
        <v>25</v>
      </c>
      <c r="C411" s="15" t="str">
        <f>"5/2013-MK-8"</f>
        <v>5/2013-MK-8</v>
      </c>
      <c r="D411" s="15" t="str">
        <f t="shared" si="12"/>
        <v>EUROHERC OSIGURANJE D.D.</v>
      </c>
      <c r="E411" s="16">
        <v>42037</v>
      </c>
      <c r="F411" s="16">
        <v>42402</v>
      </c>
      <c r="G411" s="13">
        <v>1327.88</v>
      </c>
      <c r="H411" s="16">
        <v>42402</v>
      </c>
      <c r="I411" s="13">
        <v>1327.88</v>
      </c>
      <c r="J411" s="13">
        <f t="shared" si="13"/>
        <v>1327.88</v>
      </c>
      <c r="K411" s="6"/>
    </row>
    <row r="412" spans="1:11" ht="24" x14ac:dyDescent="0.25">
      <c r="A412" s="3">
        <v>397</v>
      </c>
      <c r="B412" s="14" t="s">
        <v>27</v>
      </c>
      <c r="C412" s="15" t="str">
        <f>"5/2013-MUP-29"</f>
        <v>5/2013-MUP-29</v>
      </c>
      <c r="D412" s="15" t="str">
        <f t="shared" si="12"/>
        <v>EUROHERC OSIGURANJE D.D.</v>
      </c>
      <c r="E412" s="16">
        <v>42036</v>
      </c>
      <c r="F412" s="16">
        <v>42401</v>
      </c>
      <c r="G412" s="13">
        <v>5983.32</v>
      </c>
      <c r="H412" s="16">
        <v>42401</v>
      </c>
      <c r="I412" s="13">
        <v>5983.32</v>
      </c>
      <c r="J412" s="13">
        <f t="shared" si="13"/>
        <v>5983.32</v>
      </c>
      <c r="K412" s="6"/>
    </row>
    <row r="413" spans="1:11" ht="24" x14ac:dyDescent="0.25">
      <c r="A413" s="3">
        <v>398</v>
      </c>
      <c r="B413" s="14" t="s">
        <v>271</v>
      </c>
      <c r="C413" s="15" t="str">
        <f>"5/2013-ZSB-1"</f>
        <v>5/2013-ZSB-1</v>
      </c>
      <c r="D413" s="15" t="str">
        <f t="shared" si="12"/>
        <v>EUROHERC OSIGURANJE D.D.</v>
      </c>
      <c r="E413" s="16">
        <v>42036</v>
      </c>
      <c r="F413" s="16">
        <v>42401</v>
      </c>
      <c r="G413" s="13">
        <v>2041.64</v>
      </c>
      <c r="H413" s="16">
        <v>42401</v>
      </c>
      <c r="I413" s="13">
        <v>2041.64</v>
      </c>
      <c r="J413" s="13">
        <f t="shared" si="13"/>
        <v>2041.64</v>
      </c>
      <c r="K413" s="6"/>
    </row>
    <row r="414" spans="1:11" ht="24" x14ac:dyDescent="0.25">
      <c r="A414" s="3">
        <v>399</v>
      </c>
      <c r="B414" s="14" t="s">
        <v>35</v>
      </c>
      <c r="C414" s="15" t="str">
        <f>"5/2013-DGU-16"</f>
        <v>5/2013-DGU-16</v>
      </c>
      <c r="D414" s="15" t="str">
        <f t="shared" si="12"/>
        <v>EUROHERC OSIGURANJE D.D.</v>
      </c>
      <c r="E414" s="16">
        <v>42036</v>
      </c>
      <c r="F414" s="16">
        <v>42401</v>
      </c>
      <c r="G414" s="13">
        <v>1279.05</v>
      </c>
      <c r="H414" s="16">
        <v>42401</v>
      </c>
      <c r="I414" s="13">
        <v>1279.05</v>
      </c>
      <c r="J414" s="13">
        <f t="shared" si="13"/>
        <v>1279.05</v>
      </c>
      <c r="K414" s="6"/>
    </row>
    <row r="415" spans="1:11" ht="24" x14ac:dyDescent="0.25">
      <c r="A415" s="3">
        <v>400</v>
      </c>
      <c r="B415" s="14" t="s">
        <v>44</v>
      </c>
      <c r="C415" s="15" t="str">
        <f>"5/2013-MFINPU-1"</f>
        <v>5/2013-MFINPU-1</v>
      </c>
      <c r="D415" s="15" t="str">
        <f t="shared" si="12"/>
        <v>EUROHERC OSIGURANJE D.D.</v>
      </c>
      <c r="E415" s="16">
        <v>42035</v>
      </c>
      <c r="F415" s="16">
        <v>42400</v>
      </c>
      <c r="G415" s="13">
        <v>2811.82</v>
      </c>
      <c r="H415" s="16">
        <v>42400</v>
      </c>
      <c r="I415" s="13">
        <v>2811.82</v>
      </c>
      <c r="J415" s="13">
        <f t="shared" si="13"/>
        <v>2811.82</v>
      </c>
      <c r="K415" s="6"/>
    </row>
    <row r="416" spans="1:11" ht="24" x14ac:dyDescent="0.25">
      <c r="A416" s="3">
        <v>401</v>
      </c>
      <c r="B416" s="14" t="s">
        <v>27</v>
      </c>
      <c r="C416" s="15" t="str">
        <f>"5/2013-MUP-28"</f>
        <v>5/2013-MUP-28</v>
      </c>
      <c r="D416" s="15" t="str">
        <f t="shared" si="12"/>
        <v>EUROHERC OSIGURANJE D.D.</v>
      </c>
      <c r="E416" s="16">
        <v>42035</v>
      </c>
      <c r="F416" s="16">
        <v>42400</v>
      </c>
      <c r="G416" s="13">
        <v>1766.25</v>
      </c>
      <c r="H416" s="16">
        <v>42400</v>
      </c>
      <c r="I416" s="13">
        <v>1766.25</v>
      </c>
      <c r="J416" s="13">
        <f t="shared" si="13"/>
        <v>1766.25</v>
      </c>
      <c r="K416" s="6"/>
    </row>
    <row r="417" spans="1:11" ht="24" x14ac:dyDescent="0.25">
      <c r="A417" s="3">
        <v>402</v>
      </c>
      <c r="B417" s="14" t="s">
        <v>35</v>
      </c>
      <c r="C417" s="15" t="str">
        <f>"5/2013-DGU-15"</f>
        <v>5/2013-DGU-15</v>
      </c>
      <c r="D417" s="15" t="str">
        <f t="shared" si="12"/>
        <v>EUROHERC OSIGURANJE D.D.</v>
      </c>
      <c r="E417" s="16">
        <v>42034</v>
      </c>
      <c r="F417" s="16">
        <v>42399</v>
      </c>
      <c r="G417" s="13">
        <v>2558.1</v>
      </c>
      <c r="H417" s="16">
        <v>42399</v>
      </c>
      <c r="I417" s="13">
        <v>2558.1</v>
      </c>
      <c r="J417" s="13">
        <f t="shared" si="13"/>
        <v>2558.1</v>
      </c>
      <c r="K417" s="6"/>
    </row>
    <row r="418" spans="1:11" ht="24" x14ac:dyDescent="0.25">
      <c r="A418" s="3">
        <v>403</v>
      </c>
      <c r="B418" s="14" t="s">
        <v>27</v>
      </c>
      <c r="C418" s="15" t="str">
        <f>"5/2013-MUP-27"</f>
        <v>5/2013-MUP-27</v>
      </c>
      <c r="D418" s="15" t="str">
        <f t="shared" si="12"/>
        <v>EUROHERC OSIGURANJE D.D.</v>
      </c>
      <c r="E418" s="16">
        <v>42034</v>
      </c>
      <c r="F418" s="16">
        <v>42399</v>
      </c>
      <c r="G418" s="13">
        <v>20479.599999999999</v>
      </c>
      <c r="H418" s="16">
        <v>42399</v>
      </c>
      <c r="I418" s="13">
        <v>20479.599999999999</v>
      </c>
      <c r="J418" s="13">
        <f t="shared" si="13"/>
        <v>20479.599999999999</v>
      </c>
      <c r="K418" s="6"/>
    </row>
    <row r="419" spans="1:11" ht="24" x14ac:dyDescent="0.25">
      <c r="A419" s="3">
        <v>404</v>
      </c>
      <c r="B419" s="14" t="s">
        <v>35</v>
      </c>
      <c r="C419" s="15" t="str">
        <f>"5/2013-DGU-14"</f>
        <v>5/2013-DGU-14</v>
      </c>
      <c r="D419" s="15" t="str">
        <f t="shared" si="12"/>
        <v>EUROHERC OSIGURANJE D.D.</v>
      </c>
      <c r="E419" s="16">
        <v>42033</v>
      </c>
      <c r="F419" s="16">
        <v>42398</v>
      </c>
      <c r="G419" s="13">
        <v>2443.6999999999998</v>
      </c>
      <c r="H419" s="16">
        <v>42398</v>
      </c>
      <c r="I419" s="13">
        <v>2443.6999999999998</v>
      </c>
      <c r="J419" s="13">
        <f t="shared" si="13"/>
        <v>2443.6999999999998</v>
      </c>
      <c r="K419" s="6"/>
    </row>
    <row r="420" spans="1:11" ht="24" x14ac:dyDescent="0.25">
      <c r="A420" s="3">
        <v>405</v>
      </c>
      <c r="B420" s="14" t="s">
        <v>42</v>
      </c>
      <c r="C420" s="15" t="str">
        <f>"5/2013-MORH-7"</f>
        <v>5/2013-MORH-7</v>
      </c>
      <c r="D420" s="15" t="str">
        <f t="shared" si="12"/>
        <v>EUROHERC OSIGURANJE D.D.</v>
      </c>
      <c r="E420" s="16">
        <v>42033</v>
      </c>
      <c r="F420" s="16">
        <v>42398</v>
      </c>
      <c r="G420" s="13">
        <v>6148.49</v>
      </c>
      <c r="H420" s="16">
        <v>42398</v>
      </c>
      <c r="I420" s="13">
        <v>4918.79</v>
      </c>
      <c r="J420" s="13">
        <f t="shared" si="13"/>
        <v>4918.79</v>
      </c>
      <c r="K420" s="6"/>
    </row>
    <row r="421" spans="1:11" ht="24" x14ac:dyDescent="0.25">
      <c r="A421" s="3">
        <v>406</v>
      </c>
      <c r="B421" s="14" t="s">
        <v>27</v>
      </c>
      <c r="C421" s="15" t="str">
        <f>"5/2013-MUP-26"</f>
        <v>5/2013-MUP-26</v>
      </c>
      <c r="D421" s="15" t="str">
        <f t="shared" si="12"/>
        <v>EUROHERC OSIGURANJE D.D.</v>
      </c>
      <c r="E421" s="16">
        <v>42033</v>
      </c>
      <c r="F421" s="16">
        <v>42398</v>
      </c>
      <c r="G421" s="13">
        <v>5979.76</v>
      </c>
      <c r="H421" s="16">
        <v>42398</v>
      </c>
      <c r="I421" s="13">
        <v>5979.76</v>
      </c>
      <c r="J421" s="13">
        <f t="shared" si="13"/>
        <v>5979.76</v>
      </c>
      <c r="K421" s="6"/>
    </row>
    <row r="422" spans="1:11" ht="24" x14ac:dyDescent="0.25">
      <c r="A422" s="3">
        <v>407</v>
      </c>
      <c r="B422" s="14" t="s">
        <v>352</v>
      </c>
      <c r="C422" s="15" t="str">
        <f>"5/2013-PSZ-1"</f>
        <v>5/2013-PSZ-1</v>
      </c>
      <c r="D422" s="15" t="str">
        <f t="shared" si="12"/>
        <v>EUROHERC OSIGURANJE D.D.</v>
      </c>
      <c r="E422" s="16">
        <v>42032</v>
      </c>
      <c r="F422" s="16">
        <v>42397</v>
      </c>
      <c r="G422" s="13">
        <v>2041.64</v>
      </c>
      <c r="H422" s="16">
        <v>42397</v>
      </c>
      <c r="I422" s="13">
        <v>2041.64</v>
      </c>
      <c r="J422" s="13">
        <f t="shared" si="13"/>
        <v>2041.64</v>
      </c>
      <c r="K422" s="6"/>
    </row>
    <row r="423" spans="1:11" ht="24" x14ac:dyDescent="0.25">
      <c r="A423" s="3">
        <v>408</v>
      </c>
      <c r="B423" s="14" t="s">
        <v>171</v>
      </c>
      <c r="C423" s="15" t="str">
        <f>"5/2013-OSV-1"</f>
        <v>5/2013-OSV-1</v>
      </c>
      <c r="D423" s="15" t="str">
        <f t="shared" si="12"/>
        <v>EUROHERC OSIGURANJE D.D.</v>
      </c>
      <c r="E423" s="16">
        <v>42032</v>
      </c>
      <c r="F423" s="16">
        <v>42397</v>
      </c>
      <c r="G423" s="13">
        <v>1692.92</v>
      </c>
      <c r="H423" s="16">
        <v>42397</v>
      </c>
      <c r="I423" s="13">
        <v>1692.92</v>
      </c>
      <c r="J423" s="13">
        <f t="shared" si="13"/>
        <v>1692.92</v>
      </c>
      <c r="K423" s="6"/>
    </row>
    <row r="424" spans="1:11" ht="24" x14ac:dyDescent="0.25">
      <c r="A424" s="3">
        <v>409</v>
      </c>
      <c r="B424" s="14" t="s">
        <v>33</v>
      </c>
      <c r="C424" s="15" t="str">
        <f>"5/2013-MFINCU-15"</f>
        <v>5/2013-MFINCU-15</v>
      </c>
      <c r="D424" s="15" t="str">
        <f t="shared" si="12"/>
        <v>EUROHERC OSIGURANJE D.D.</v>
      </c>
      <c r="E424" s="16">
        <v>42032</v>
      </c>
      <c r="F424" s="16">
        <v>42397</v>
      </c>
      <c r="G424" s="13">
        <v>5132.6899999999996</v>
      </c>
      <c r="H424" s="16">
        <v>42397</v>
      </c>
      <c r="I424" s="13">
        <v>5132.6899999999996</v>
      </c>
      <c r="J424" s="13">
        <f t="shared" si="13"/>
        <v>5132.6899999999996</v>
      </c>
      <c r="K424" s="6"/>
    </row>
    <row r="425" spans="1:11" ht="24" x14ac:dyDescent="0.25">
      <c r="A425" s="3">
        <v>410</v>
      </c>
      <c r="B425" s="14" t="s">
        <v>61</v>
      </c>
      <c r="C425" s="15" t="str">
        <f>"5/2013-DZM-3"</f>
        <v>5/2013-DZM-3</v>
      </c>
      <c r="D425" s="15" t="str">
        <f t="shared" si="12"/>
        <v>EUROHERC OSIGURANJE D.D.</v>
      </c>
      <c r="E425" s="16">
        <v>42032</v>
      </c>
      <c r="F425" s="16">
        <v>42397</v>
      </c>
      <c r="G425" s="13">
        <v>15333.08</v>
      </c>
      <c r="H425" s="16">
        <v>42397</v>
      </c>
      <c r="I425" s="13">
        <v>13333.11</v>
      </c>
      <c r="J425" s="13">
        <f t="shared" si="13"/>
        <v>13333.11</v>
      </c>
      <c r="K425" s="6"/>
    </row>
    <row r="426" spans="1:11" ht="24" x14ac:dyDescent="0.25">
      <c r="A426" s="3">
        <v>411</v>
      </c>
      <c r="B426" s="14" t="s">
        <v>35</v>
      </c>
      <c r="C426" s="15" t="str">
        <f>"5/2013-DGU-13"</f>
        <v>5/2013-DGU-13</v>
      </c>
      <c r="D426" s="15" t="str">
        <f t="shared" si="12"/>
        <v>EUROHERC OSIGURANJE D.D.</v>
      </c>
      <c r="E426" s="16">
        <v>42032</v>
      </c>
      <c r="F426" s="16">
        <v>42397</v>
      </c>
      <c r="G426" s="13">
        <v>1701.69</v>
      </c>
      <c r="H426" s="16">
        <v>42397</v>
      </c>
      <c r="I426" s="13">
        <v>1701.69</v>
      </c>
      <c r="J426" s="13">
        <f t="shared" si="13"/>
        <v>1701.69</v>
      </c>
      <c r="K426" s="6"/>
    </row>
    <row r="427" spans="1:11" ht="24" x14ac:dyDescent="0.25">
      <c r="A427" s="3">
        <v>412</v>
      </c>
      <c r="B427" s="14" t="s">
        <v>61</v>
      </c>
      <c r="C427" s="15" t="str">
        <f>"5/2013-DZM-1"</f>
        <v>5/2013-DZM-1</v>
      </c>
      <c r="D427" s="15" t="str">
        <f t="shared" si="12"/>
        <v>EUROHERC OSIGURANJE D.D.</v>
      </c>
      <c r="E427" s="16">
        <v>42032</v>
      </c>
      <c r="F427" s="16">
        <v>42397</v>
      </c>
      <c r="G427" s="13">
        <v>35.04</v>
      </c>
      <c r="H427" s="16">
        <v>42397</v>
      </c>
      <c r="I427" s="13">
        <v>31.84</v>
      </c>
      <c r="J427" s="13">
        <f t="shared" si="13"/>
        <v>31.84</v>
      </c>
      <c r="K427" s="6"/>
    </row>
    <row r="428" spans="1:11" ht="24" x14ac:dyDescent="0.25">
      <c r="A428" s="3">
        <v>413</v>
      </c>
      <c r="B428" s="14" t="s">
        <v>27</v>
      </c>
      <c r="C428" s="15" t="str">
        <f>"5/2013-MUP-25"</f>
        <v>5/2013-MUP-25</v>
      </c>
      <c r="D428" s="15" t="str">
        <f t="shared" si="12"/>
        <v>EUROHERC OSIGURANJE D.D.</v>
      </c>
      <c r="E428" s="16">
        <v>42032</v>
      </c>
      <c r="F428" s="16">
        <v>42397</v>
      </c>
      <c r="G428" s="13">
        <v>6016.97</v>
      </c>
      <c r="H428" s="16">
        <v>42397</v>
      </c>
      <c r="I428" s="13">
        <v>6016.97</v>
      </c>
      <c r="J428" s="13">
        <f t="shared" si="13"/>
        <v>6016.97</v>
      </c>
      <c r="K428" s="6"/>
    </row>
    <row r="429" spans="1:11" ht="24" x14ac:dyDescent="0.25">
      <c r="A429" s="3">
        <v>414</v>
      </c>
      <c r="B429" s="14" t="s">
        <v>27</v>
      </c>
      <c r="C429" s="15" t="str">
        <f>"5/2013-MUP-24"</f>
        <v>5/2013-MUP-24</v>
      </c>
      <c r="D429" s="15" t="str">
        <f t="shared" si="12"/>
        <v>EUROHERC OSIGURANJE D.D.</v>
      </c>
      <c r="E429" s="16">
        <v>42031</v>
      </c>
      <c r="F429" s="16">
        <v>42396</v>
      </c>
      <c r="G429" s="13">
        <v>7717.49</v>
      </c>
      <c r="H429" s="16">
        <v>42396</v>
      </c>
      <c r="I429" s="13">
        <v>7717.49</v>
      </c>
      <c r="J429" s="13">
        <f t="shared" si="13"/>
        <v>7717.49</v>
      </c>
      <c r="K429" s="6"/>
    </row>
    <row r="430" spans="1:11" ht="24" x14ac:dyDescent="0.25">
      <c r="A430" s="3">
        <v>415</v>
      </c>
      <c r="B430" s="14" t="s">
        <v>27</v>
      </c>
      <c r="C430" s="15" t="str">
        <f>"5/2013-MUP-23"</f>
        <v>5/2013-MUP-23</v>
      </c>
      <c r="D430" s="15" t="str">
        <f t="shared" si="12"/>
        <v>EUROHERC OSIGURANJE D.D.</v>
      </c>
      <c r="E430" s="16">
        <v>42030</v>
      </c>
      <c r="F430" s="16">
        <v>42395</v>
      </c>
      <c r="G430" s="13">
        <v>15023.67</v>
      </c>
      <c r="H430" s="16">
        <v>42395</v>
      </c>
      <c r="I430" s="13">
        <v>15023.67</v>
      </c>
      <c r="J430" s="13">
        <f t="shared" si="13"/>
        <v>15023.67</v>
      </c>
      <c r="K430" s="6"/>
    </row>
    <row r="431" spans="1:11" ht="24" x14ac:dyDescent="0.25">
      <c r="A431" s="3">
        <v>416</v>
      </c>
      <c r="B431" s="14" t="s">
        <v>35</v>
      </c>
      <c r="C431" s="15" t="str">
        <f>"5/2013-DGU-12"</f>
        <v>5/2013-DGU-12</v>
      </c>
      <c r="D431" s="15" t="str">
        <f t="shared" si="12"/>
        <v>EUROHERC OSIGURANJE D.D.</v>
      </c>
      <c r="E431" s="16">
        <v>42030</v>
      </c>
      <c r="F431" s="16">
        <v>42395</v>
      </c>
      <c r="G431" s="13">
        <v>1279.05</v>
      </c>
      <c r="H431" s="16">
        <v>42395</v>
      </c>
      <c r="I431" s="13">
        <v>1279.05</v>
      </c>
      <c r="J431" s="13">
        <f t="shared" si="13"/>
        <v>1279.05</v>
      </c>
      <c r="K431" s="6"/>
    </row>
    <row r="432" spans="1:11" ht="24" x14ac:dyDescent="0.25">
      <c r="A432" s="3">
        <v>417</v>
      </c>
      <c r="B432" s="14" t="s">
        <v>27</v>
      </c>
      <c r="C432" s="15" t="str">
        <f>"5/2013-MUP-22"</f>
        <v>5/2013-MUP-22</v>
      </c>
      <c r="D432" s="15" t="str">
        <f t="shared" si="12"/>
        <v>EUROHERC OSIGURANJE D.D.</v>
      </c>
      <c r="E432" s="16">
        <v>42029</v>
      </c>
      <c r="F432" s="16">
        <v>42394</v>
      </c>
      <c r="G432" s="13">
        <v>16646.48</v>
      </c>
      <c r="H432" s="16">
        <v>42394</v>
      </c>
      <c r="I432" s="13">
        <v>16646.48</v>
      </c>
      <c r="J432" s="13">
        <f t="shared" si="13"/>
        <v>16646.48</v>
      </c>
      <c r="K432" s="6"/>
    </row>
    <row r="433" spans="1:11" ht="24" x14ac:dyDescent="0.25">
      <c r="A433" s="3">
        <v>418</v>
      </c>
      <c r="B433" s="14" t="s">
        <v>35</v>
      </c>
      <c r="C433" s="15" t="str">
        <f>"5/2013-DGU-11"</f>
        <v>5/2013-DGU-11</v>
      </c>
      <c r="D433" s="15" t="str">
        <f t="shared" si="12"/>
        <v>EUROHERC OSIGURANJE D.D.</v>
      </c>
      <c r="E433" s="16">
        <v>42028</v>
      </c>
      <c r="F433" s="16">
        <v>42393</v>
      </c>
      <c r="G433" s="13">
        <v>2558.1</v>
      </c>
      <c r="H433" s="16">
        <v>42393</v>
      </c>
      <c r="I433" s="13">
        <v>2558.1</v>
      </c>
      <c r="J433" s="13">
        <f t="shared" si="13"/>
        <v>2558.1</v>
      </c>
      <c r="K433" s="6"/>
    </row>
    <row r="434" spans="1:11" ht="24" x14ac:dyDescent="0.25">
      <c r="A434" s="3">
        <v>419</v>
      </c>
      <c r="B434" s="14" t="s">
        <v>27</v>
      </c>
      <c r="C434" s="15" t="str">
        <f>"5/2013-MUP-21"</f>
        <v>5/2013-MUP-21</v>
      </c>
      <c r="D434" s="15" t="str">
        <f t="shared" si="12"/>
        <v>EUROHERC OSIGURANJE D.D.</v>
      </c>
      <c r="E434" s="16">
        <v>42028</v>
      </c>
      <c r="F434" s="16">
        <v>42393</v>
      </c>
      <c r="G434" s="13">
        <v>5882.39</v>
      </c>
      <c r="H434" s="16">
        <v>42393</v>
      </c>
      <c r="I434" s="13">
        <v>5882.39</v>
      </c>
      <c r="J434" s="13">
        <f t="shared" si="13"/>
        <v>5882.39</v>
      </c>
      <c r="K434" s="6"/>
    </row>
    <row r="435" spans="1:11" ht="24" x14ac:dyDescent="0.25">
      <c r="A435" s="3">
        <v>420</v>
      </c>
      <c r="B435" s="14" t="s">
        <v>25</v>
      </c>
      <c r="C435" s="15" t="str">
        <f>"5/2013-MK-7"</f>
        <v>5/2013-MK-7</v>
      </c>
      <c r="D435" s="15" t="str">
        <f t="shared" si="12"/>
        <v>EUROHERC OSIGURANJE D.D.</v>
      </c>
      <c r="E435" s="16">
        <v>42027</v>
      </c>
      <c r="F435" s="16">
        <v>42392</v>
      </c>
      <c r="G435" s="13">
        <v>1605.69</v>
      </c>
      <c r="H435" s="16">
        <v>42392</v>
      </c>
      <c r="I435" s="13">
        <v>1605.69</v>
      </c>
      <c r="J435" s="13">
        <f t="shared" si="13"/>
        <v>1605.69</v>
      </c>
      <c r="K435" s="6"/>
    </row>
    <row r="436" spans="1:11" ht="24" x14ac:dyDescent="0.25">
      <c r="A436" s="3">
        <v>421</v>
      </c>
      <c r="B436" s="14" t="s">
        <v>35</v>
      </c>
      <c r="C436" s="15" t="str">
        <f>"5/2013-DGU-10"</f>
        <v>5/2013-DGU-10</v>
      </c>
      <c r="D436" s="15" t="str">
        <f t="shared" si="12"/>
        <v>EUROHERC OSIGURANJE D.D.</v>
      </c>
      <c r="E436" s="16">
        <v>42027</v>
      </c>
      <c r="F436" s="16">
        <v>42392</v>
      </c>
      <c r="G436" s="13">
        <v>2892.88</v>
      </c>
      <c r="H436" s="16">
        <v>42392</v>
      </c>
      <c r="I436" s="13">
        <v>2892.88</v>
      </c>
      <c r="J436" s="13">
        <f t="shared" si="13"/>
        <v>2892.88</v>
      </c>
      <c r="K436" s="6"/>
    </row>
    <row r="437" spans="1:11" ht="24" x14ac:dyDescent="0.25">
      <c r="A437" s="3">
        <v>422</v>
      </c>
      <c r="B437" s="14" t="s">
        <v>27</v>
      </c>
      <c r="C437" s="15" t="str">
        <f>"5/2013-MUP-20"</f>
        <v>5/2013-MUP-20</v>
      </c>
      <c r="D437" s="15" t="str">
        <f t="shared" si="12"/>
        <v>EUROHERC OSIGURANJE D.D.</v>
      </c>
      <c r="E437" s="16">
        <v>42027</v>
      </c>
      <c r="F437" s="16">
        <v>42392</v>
      </c>
      <c r="G437" s="13">
        <v>2718.84</v>
      </c>
      <c r="H437" s="16">
        <v>42392</v>
      </c>
      <c r="I437" s="13">
        <v>2718.84</v>
      </c>
      <c r="J437" s="13">
        <f t="shared" si="13"/>
        <v>2718.84</v>
      </c>
      <c r="K437" s="6"/>
    </row>
    <row r="438" spans="1:11" ht="24" x14ac:dyDescent="0.25">
      <c r="A438" s="3">
        <v>423</v>
      </c>
      <c r="B438" s="14" t="s">
        <v>42</v>
      </c>
      <c r="C438" s="15" t="str">
        <f>"5/2013-MORH-6"</f>
        <v>5/2013-MORH-6</v>
      </c>
      <c r="D438" s="15" t="str">
        <f t="shared" si="12"/>
        <v>EUROHERC OSIGURANJE D.D.</v>
      </c>
      <c r="E438" s="16">
        <v>42027</v>
      </c>
      <c r="F438" s="16">
        <v>42392</v>
      </c>
      <c r="G438" s="13">
        <v>8576.9699999999993</v>
      </c>
      <c r="H438" s="16">
        <v>42392</v>
      </c>
      <c r="I438" s="13">
        <v>8576.9699999999993</v>
      </c>
      <c r="J438" s="13">
        <f t="shared" si="13"/>
        <v>8576.9699999999993</v>
      </c>
      <c r="K438" s="6"/>
    </row>
    <row r="439" spans="1:11" ht="24" x14ac:dyDescent="0.25">
      <c r="A439" s="3">
        <v>424</v>
      </c>
      <c r="B439" s="14" t="s">
        <v>33</v>
      </c>
      <c r="C439" s="15" t="str">
        <f>"5/2013-MFINCU-14"</f>
        <v>5/2013-MFINCU-14</v>
      </c>
      <c r="D439" s="15" t="str">
        <f t="shared" si="12"/>
        <v>EUROHERC OSIGURANJE D.D.</v>
      </c>
      <c r="E439" s="16">
        <v>42026</v>
      </c>
      <c r="F439" s="16">
        <v>42391</v>
      </c>
      <c r="G439" s="13">
        <v>3714.18</v>
      </c>
      <c r="H439" s="16">
        <v>42391</v>
      </c>
      <c r="I439" s="13">
        <v>3714.18</v>
      </c>
      <c r="J439" s="13">
        <f t="shared" si="13"/>
        <v>3714.18</v>
      </c>
      <c r="K439" s="6"/>
    </row>
    <row r="440" spans="1:11" ht="24" x14ac:dyDescent="0.25">
      <c r="A440" s="3">
        <v>425</v>
      </c>
      <c r="B440" s="14" t="s">
        <v>27</v>
      </c>
      <c r="C440" s="15" t="str">
        <f>"5/2013-MUP-19"</f>
        <v>5/2013-MUP-19</v>
      </c>
      <c r="D440" s="15" t="str">
        <f t="shared" si="12"/>
        <v>EUROHERC OSIGURANJE D.D.</v>
      </c>
      <c r="E440" s="16">
        <v>42026</v>
      </c>
      <c r="F440" s="16">
        <v>42391</v>
      </c>
      <c r="G440" s="13">
        <v>5087.33</v>
      </c>
      <c r="H440" s="16">
        <v>42391</v>
      </c>
      <c r="I440" s="13">
        <v>5087.33</v>
      </c>
      <c r="J440" s="13">
        <f t="shared" si="13"/>
        <v>5087.33</v>
      </c>
      <c r="K440" s="6"/>
    </row>
    <row r="441" spans="1:11" ht="24" x14ac:dyDescent="0.25">
      <c r="A441" s="3">
        <v>426</v>
      </c>
      <c r="B441" s="14" t="s">
        <v>35</v>
      </c>
      <c r="C441" s="15" t="str">
        <f>"5/2013-DGU-9"</f>
        <v>5/2013-DGU-9</v>
      </c>
      <c r="D441" s="15" t="str">
        <f t="shared" si="12"/>
        <v>EUROHERC OSIGURANJE D.D.</v>
      </c>
      <c r="E441" s="16">
        <v>42026</v>
      </c>
      <c r="F441" s="16">
        <v>42391</v>
      </c>
      <c r="G441" s="13">
        <v>1164.6500000000001</v>
      </c>
      <c r="H441" s="16">
        <v>42391</v>
      </c>
      <c r="I441" s="13">
        <v>1164.6500000000001</v>
      </c>
      <c r="J441" s="13">
        <f t="shared" si="13"/>
        <v>1164.6500000000001</v>
      </c>
      <c r="K441" s="6"/>
    </row>
    <row r="442" spans="1:11" ht="24" x14ac:dyDescent="0.25">
      <c r="A442" s="3">
        <v>427</v>
      </c>
      <c r="B442" s="14" t="s">
        <v>35</v>
      </c>
      <c r="C442" s="15" t="str">
        <f>"5/2013-DGU-8"</f>
        <v>5/2013-DGU-8</v>
      </c>
      <c r="D442" s="15" t="str">
        <f t="shared" si="12"/>
        <v>EUROHERC OSIGURANJE D.D.</v>
      </c>
      <c r="E442" s="16">
        <v>42025</v>
      </c>
      <c r="F442" s="16">
        <v>42390</v>
      </c>
      <c r="G442" s="13">
        <v>1378.76</v>
      </c>
      <c r="H442" s="16">
        <v>42390</v>
      </c>
      <c r="I442" s="13">
        <v>1378.76</v>
      </c>
      <c r="J442" s="13">
        <f t="shared" si="13"/>
        <v>1378.76</v>
      </c>
      <c r="K442" s="6"/>
    </row>
    <row r="443" spans="1:11" ht="24" x14ac:dyDescent="0.25">
      <c r="A443" s="3">
        <v>428</v>
      </c>
      <c r="B443" s="14" t="s">
        <v>58</v>
      </c>
      <c r="C443" s="15" t="str">
        <f>"5/2013-DGU-1"</f>
        <v>5/2013-DGU-1</v>
      </c>
      <c r="D443" s="15" t="str">
        <f t="shared" si="12"/>
        <v>EUROHERC OSIGURANJE D.D.</v>
      </c>
      <c r="E443" s="16">
        <v>42025</v>
      </c>
      <c r="F443" s="16">
        <v>42390</v>
      </c>
      <c r="G443" s="13">
        <v>78.56</v>
      </c>
      <c r="H443" s="16">
        <v>42390</v>
      </c>
      <c r="I443" s="13">
        <v>78.56</v>
      </c>
      <c r="J443" s="13">
        <f t="shared" si="13"/>
        <v>78.56</v>
      </c>
      <c r="K443" s="6"/>
    </row>
    <row r="444" spans="1:11" ht="24" x14ac:dyDescent="0.25">
      <c r="A444" s="3">
        <v>429</v>
      </c>
      <c r="B444" s="14" t="s">
        <v>27</v>
      </c>
      <c r="C444" s="15" t="str">
        <f>"5/2013-MUP-18"</f>
        <v>5/2013-MUP-18</v>
      </c>
      <c r="D444" s="15" t="str">
        <f t="shared" si="12"/>
        <v>EUROHERC OSIGURANJE D.D.</v>
      </c>
      <c r="E444" s="16">
        <v>42025</v>
      </c>
      <c r="F444" s="16">
        <v>42390</v>
      </c>
      <c r="G444" s="13">
        <v>8674.18</v>
      </c>
      <c r="H444" s="16">
        <v>42390</v>
      </c>
      <c r="I444" s="13">
        <v>8674.18</v>
      </c>
      <c r="J444" s="13">
        <f t="shared" si="13"/>
        <v>8674.18</v>
      </c>
      <c r="K444" s="6"/>
    </row>
    <row r="445" spans="1:11" ht="24" x14ac:dyDescent="0.25">
      <c r="A445" s="3">
        <v>430</v>
      </c>
      <c r="B445" s="14" t="s">
        <v>33</v>
      </c>
      <c r="C445" s="15" t="str">
        <f>"5/2013-MFINCU-13"</f>
        <v>5/2013-MFINCU-13</v>
      </c>
      <c r="D445" s="15" t="str">
        <f t="shared" si="12"/>
        <v>EUROHERC OSIGURANJE D.D.</v>
      </c>
      <c r="E445" s="16">
        <v>42025</v>
      </c>
      <c r="F445" s="16">
        <v>42390</v>
      </c>
      <c r="G445" s="13">
        <v>2536.15</v>
      </c>
      <c r="H445" s="16">
        <v>42390</v>
      </c>
      <c r="I445" s="13">
        <v>2536.15</v>
      </c>
      <c r="J445" s="13">
        <f t="shared" si="13"/>
        <v>2536.15</v>
      </c>
      <c r="K445" s="6"/>
    </row>
    <row r="446" spans="1:11" ht="24" x14ac:dyDescent="0.25">
      <c r="A446" s="3">
        <v>431</v>
      </c>
      <c r="B446" s="14" t="s">
        <v>25</v>
      </c>
      <c r="C446" s="15" t="str">
        <f>"5/2013-MK-6"</f>
        <v>5/2013-MK-6</v>
      </c>
      <c r="D446" s="15" t="str">
        <f t="shared" si="12"/>
        <v>EUROHERC OSIGURANJE D.D.</v>
      </c>
      <c r="E446" s="16">
        <v>42025</v>
      </c>
      <c r="F446" s="16">
        <v>42390</v>
      </c>
      <c r="G446" s="13">
        <v>1940.2</v>
      </c>
      <c r="H446" s="16">
        <v>42390</v>
      </c>
      <c r="I446" s="13">
        <v>1940.2</v>
      </c>
      <c r="J446" s="13">
        <f t="shared" si="13"/>
        <v>1940.2</v>
      </c>
      <c r="K446" s="6"/>
    </row>
    <row r="447" spans="1:11" ht="24" x14ac:dyDescent="0.25">
      <c r="A447" s="3">
        <v>432</v>
      </c>
      <c r="B447" s="14" t="s">
        <v>58</v>
      </c>
      <c r="C447" s="15" t="str">
        <f>"5/2013-MZOS-2"</f>
        <v>5/2013-MZOS-2</v>
      </c>
      <c r="D447" s="15" t="str">
        <f t="shared" si="12"/>
        <v>EUROHERC OSIGURANJE D.D.</v>
      </c>
      <c r="E447" s="16">
        <v>42025</v>
      </c>
      <c r="F447" s="16">
        <v>42390</v>
      </c>
      <c r="G447" s="13">
        <v>15389.28</v>
      </c>
      <c r="H447" s="16">
        <v>42390</v>
      </c>
      <c r="I447" s="13">
        <v>15389.28</v>
      </c>
      <c r="J447" s="13">
        <f t="shared" si="13"/>
        <v>15389.28</v>
      </c>
      <c r="K447" s="6"/>
    </row>
    <row r="448" spans="1:11" ht="24" x14ac:dyDescent="0.25">
      <c r="A448" s="3">
        <v>433</v>
      </c>
      <c r="B448" s="14" t="s">
        <v>25</v>
      </c>
      <c r="C448" s="15" t="str">
        <f>"5/2013-MK-5"</f>
        <v>5/2013-MK-5</v>
      </c>
      <c r="D448" s="15" t="str">
        <f t="shared" si="12"/>
        <v>EUROHERC OSIGURANJE D.D.</v>
      </c>
      <c r="E448" s="16">
        <v>42024</v>
      </c>
      <c r="F448" s="16">
        <v>42389</v>
      </c>
      <c r="G448" s="13">
        <v>1458.32</v>
      </c>
      <c r="H448" s="16">
        <v>42389</v>
      </c>
      <c r="I448" s="13">
        <v>1458.32</v>
      </c>
      <c r="J448" s="13">
        <f t="shared" si="13"/>
        <v>1458.32</v>
      </c>
      <c r="K448" s="6"/>
    </row>
    <row r="449" spans="1:11" ht="24" x14ac:dyDescent="0.25">
      <c r="A449" s="3">
        <v>434</v>
      </c>
      <c r="B449" s="14" t="s">
        <v>54</v>
      </c>
      <c r="C449" s="15" t="str">
        <f>"08101742424"</f>
        <v>08101742424</v>
      </c>
      <c r="D449" s="15" t="str">
        <f t="shared" si="12"/>
        <v>EUROHERC OSIGURANJE D.D.</v>
      </c>
      <c r="E449" s="16">
        <v>42003</v>
      </c>
      <c r="F449" s="16">
        <v>42389</v>
      </c>
      <c r="G449" s="13">
        <v>1940.2</v>
      </c>
      <c r="H449" s="16">
        <v>42389</v>
      </c>
      <c r="I449" s="13">
        <v>1940.2</v>
      </c>
      <c r="J449" s="13">
        <f t="shared" si="13"/>
        <v>1940.2</v>
      </c>
      <c r="K449" s="6"/>
    </row>
    <row r="450" spans="1:11" ht="24" x14ac:dyDescent="0.25">
      <c r="A450" s="3">
        <v>435</v>
      </c>
      <c r="B450" s="14" t="s">
        <v>51</v>
      </c>
      <c r="C450" s="15" t="str">
        <f>"5/2013-MINPOLJ-5"</f>
        <v>5/2013-MINPOLJ-5</v>
      </c>
      <c r="D450" s="15" t="str">
        <f t="shared" si="12"/>
        <v>EUROHERC OSIGURANJE D.D.</v>
      </c>
      <c r="E450" s="16">
        <v>42024</v>
      </c>
      <c r="F450" s="16">
        <v>42389</v>
      </c>
      <c r="G450" s="13">
        <v>5671.35</v>
      </c>
      <c r="H450" s="16">
        <v>42389</v>
      </c>
      <c r="I450" s="13">
        <v>5671.35</v>
      </c>
      <c r="J450" s="13">
        <f t="shared" si="13"/>
        <v>5671.35</v>
      </c>
      <c r="K450" s="6"/>
    </row>
    <row r="451" spans="1:11" ht="24" x14ac:dyDescent="0.25">
      <c r="A451" s="3">
        <v>436</v>
      </c>
      <c r="B451" s="14" t="s">
        <v>27</v>
      </c>
      <c r="C451" s="15" t="str">
        <f>"5/2013-MUP-17"</f>
        <v>5/2013-MUP-17</v>
      </c>
      <c r="D451" s="15" t="str">
        <f t="shared" si="12"/>
        <v>EUROHERC OSIGURANJE D.D.</v>
      </c>
      <c r="E451" s="16">
        <v>42024</v>
      </c>
      <c r="F451" s="16">
        <v>42389</v>
      </c>
      <c r="G451" s="13">
        <v>4692.46</v>
      </c>
      <c r="H451" s="16">
        <v>42389</v>
      </c>
      <c r="I451" s="13">
        <v>4692.46</v>
      </c>
      <c r="J451" s="13">
        <f t="shared" si="13"/>
        <v>4692.46</v>
      </c>
      <c r="K451" s="6"/>
    </row>
    <row r="452" spans="1:11" ht="24" x14ac:dyDescent="0.25">
      <c r="A452" s="3">
        <v>437</v>
      </c>
      <c r="B452" s="14" t="s">
        <v>35</v>
      </c>
      <c r="C452" s="15" t="str">
        <f>"5/2013-DGU-7"</f>
        <v>5/2013-DGU-7</v>
      </c>
      <c r="D452" s="15" t="str">
        <f t="shared" ref="D452:D508" si="14">CONCATENATE("EUROHERC OSIGURANJE D.D.")</f>
        <v>EUROHERC OSIGURANJE D.D.</v>
      </c>
      <c r="E452" s="16">
        <v>42022</v>
      </c>
      <c r="F452" s="16">
        <v>42387</v>
      </c>
      <c r="G452" s="13">
        <v>1752.74</v>
      </c>
      <c r="H452" s="16">
        <v>42387</v>
      </c>
      <c r="I452" s="13">
        <v>1752.74</v>
      </c>
      <c r="J452" s="13">
        <f t="shared" si="13"/>
        <v>1752.74</v>
      </c>
      <c r="K452" s="6"/>
    </row>
    <row r="453" spans="1:11" ht="24" x14ac:dyDescent="0.25">
      <c r="A453" s="3">
        <v>438</v>
      </c>
      <c r="B453" s="14" t="s">
        <v>33</v>
      </c>
      <c r="C453" s="15" t="str">
        <f>"5/2013-MFINCU-12"</f>
        <v>5/2013-MFINCU-12</v>
      </c>
      <c r="D453" s="15" t="str">
        <f t="shared" si="14"/>
        <v>EUROHERC OSIGURANJE D.D.</v>
      </c>
      <c r="E453" s="16">
        <v>42022</v>
      </c>
      <c r="F453" s="16">
        <v>42387</v>
      </c>
      <c r="G453" s="13">
        <v>4039.19</v>
      </c>
      <c r="H453" s="16">
        <v>42387</v>
      </c>
      <c r="I453" s="13">
        <v>4039.19</v>
      </c>
      <c r="J453" s="13">
        <f t="shared" ref="J453:J508" si="15">I453</f>
        <v>4039.19</v>
      </c>
      <c r="K453" s="6"/>
    </row>
    <row r="454" spans="1:11" ht="24" x14ac:dyDescent="0.25">
      <c r="A454" s="3">
        <v>439</v>
      </c>
      <c r="B454" s="14" t="s">
        <v>27</v>
      </c>
      <c r="C454" s="15" t="str">
        <f>"5/2013-MUP-16"</f>
        <v>5/2013-MUP-16</v>
      </c>
      <c r="D454" s="15" t="str">
        <f t="shared" si="14"/>
        <v>EUROHERC OSIGURANJE D.D.</v>
      </c>
      <c r="E454" s="16">
        <v>42022</v>
      </c>
      <c r="F454" s="16">
        <v>42387</v>
      </c>
      <c r="G454" s="13">
        <v>4692.46</v>
      </c>
      <c r="H454" s="16">
        <v>42387</v>
      </c>
      <c r="I454" s="13">
        <v>4692.46</v>
      </c>
      <c r="J454" s="13">
        <f t="shared" si="15"/>
        <v>4692.46</v>
      </c>
      <c r="K454" s="6"/>
    </row>
    <row r="455" spans="1:11" ht="24" x14ac:dyDescent="0.25">
      <c r="A455" s="3">
        <v>440</v>
      </c>
      <c r="B455" s="14" t="s">
        <v>25</v>
      </c>
      <c r="C455" s="15" t="str">
        <f>"5/2013-MK-4"</f>
        <v>5/2013-MK-4</v>
      </c>
      <c r="D455" s="15" t="str">
        <f t="shared" si="14"/>
        <v>EUROHERC OSIGURANJE D.D.</v>
      </c>
      <c r="E455" s="16">
        <v>42021</v>
      </c>
      <c r="F455" s="16">
        <v>42386</v>
      </c>
      <c r="G455" s="13">
        <v>1464.57</v>
      </c>
      <c r="H455" s="16">
        <v>42386</v>
      </c>
      <c r="I455" s="13">
        <v>1464.57</v>
      </c>
      <c r="J455" s="13">
        <f t="shared" si="15"/>
        <v>1464.57</v>
      </c>
      <c r="K455" s="6"/>
    </row>
    <row r="456" spans="1:11" ht="24" x14ac:dyDescent="0.25">
      <c r="A456" s="3">
        <v>441</v>
      </c>
      <c r="B456" s="14" t="s">
        <v>27</v>
      </c>
      <c r="C456" s="15" t="str">
        <f>"5/2013-MUP-15"</f>
        <v>5/2013-MUP-15</v>
      </c>
      <c r="D456" s="15" t="str">
        <f t="shared" si="14"/>
        <v>EUROHERC OSIGURANJE D.D.</v>
      </c>
      <c r="E456" s="16">
        <v>42021</v>
      </c>
      <c r="F456" s="16">
        <v>42386</v>
      </c>
      <c r="G456" s="13">
        <v>1279.05</v>
      </c>
      <c r="H456" s="16">
        <v>42386</v>
      </c>
      <c r="I456" s="13">
        <v>1279.05</v>
      </c>
      <c r="J456" s="13">
        <f t="shared" si="15"/>
        <v>1279.05</v>
      </c>
      <c r="K456" s="6"/>
    </row>
    <row r="457" spans="1:11" ht="24" x14ac:dyDescent="0.25">
      <c r="A457" s="3">
        <v>442</v>
      </c>
      <c r="B457" s="14" t="s">
        <v>35</v>
      </c>
      <c r="C457" s="15" t="str">
        <f>"5/2013-DGU-6"</f>
        <v>5/2013-DGU-6</v>
      </c>
      <c r="D457" s="15" t="str">
        <f t="shared" si="14"/>
        <v>EUROHERC OSIGURANJE D.D.</v>
      </c>
      <c r="E457" s="16">
        <v>42021</v>
      </c>
      <c r="F457" s="16">
        <v>42386</v>
      </c>
      <c r="G457" s="13">
        <v>2558.1</v>
      </c>
      <c r="H457" s="16">
        <v>42386</v>
      </c>
      <c r="I457" s="13">
        <v>2558.1</v>
      </c>
      <c r="J457" s="13">
        <f t="shared" si="15"/>
        <v>2558.1</v>
      </c>
      <c r="K457" s="6"/>
    </row>
    <row r="458" spans="1:11" ht="24" x14ac:dyDescent="0.25">
      <c r="A458" s="3">
        <v>443</v>
      </c>
      <c r="B458" s="14" t="s">
        <v>42</v>
      </c>
      <c r="C458" s="15" t="str">
        <f>"5/2013-MORH-5"</f>
        <v>5/2013-MORH-5</v>
      </c>
      <c r="D458" s="15" t="str">
        <f t="shared" si="14"/>
        <v>EUROHERC OSIGURANJE D.D.</v>
      </c>
      <c r="E458" s="16">
        <v>42021</v>
      </c>
      <c r="F458" s="16">
        <v>42386</v>
      </c>
      <c r="G458" s="13">
        <v>7339.38</v>
      </c>
      <c r="H458" s="16">
        <v>42386</v>
      </c>
      <c r="I458" s="13">
        <v>5871.5</v>
      </c>
      <c r="J458" s="13">
        <f t="shared" si="15"/>
        <v>5871.5</v>
      </c>
      <c r="K458" s="6"/>
    </row>
    <row r="459" spans="1:11" ht="24" x14ac:dyDescent="0.25">
      <c r="A459" s="3">
        <v>444</v>
      </c>
      <c r="B459" s="14" t="s">
        <v>90</v>
      </c>
      <c r="C459" s="15" t="str">
        <f>"5/2013-MINGO-2"</f>
        <v>5/2013-MINGO-2</v>
      </c>
      <c r="D459" s="15" t="str">
        <f t="shared" si="14"/>
        <v>EUROHERC OSIGURANJE D.D.</v>
      </c>
      <c r="E459" s="16">
        <v>42021</v>
      </c>
      <c r="F459" s="16">
        <v>42386</v>
      </c>
      <c r="G459" s="13">
        <v>5671.35</v>
      </c>
      <c r="H459" s="16">
        <v>42386</v>
      </c>
      <c r="I459" s="13">
        <v>5671.35</v>
      </c>
      <c r="J459" s="13">
        <f t="shared" si="15"/>
        <v>5671.35</v>
      </c>
      <c r="K459" s="6"/>
    </row>
    <row r="460" spans="1:11" ht="24" x14ac:dyDescent="0.25">
      <c r="A460" s="3">
        <v>445</v>
      </c>
      <c r="B460" s="14" t="s">
        <v>33</v>
      </c>
      <c r="C460" s="15" t="str">
        <f>"5/2013-MFINCU-11"</f>
        <v>5/2013-MFINCU-11</v>
      </c>
      <c r="D460" s="15" t="str">
        <f t="shared" si="14"/>
        <v>EUROHERC OSIGURANJE D.D.</v>
      </c>
      <c r="E460" s="16">
        <v>42020</v>
      </c>
      <c r="F460" s="16">
        <v>42385</v>
      </c>
      <c r="G460" s="13">
        <v>1463.19</v>
      </c>
      <c r="H460" s="16">
        <v>42385</v>
      </c>
      <c r="I460" s="13">
        <v>1463.19</v>
      </c>
      <c r="J460" s="13">
        <f t="shared" si="15"/>
        <v>1463.19</v>
      </c>
      <c r="K460" s="6"/>
    </row>
    <row r="461" spans="1:11" ht="24" x14ac:dyDescent="0.25">
      <c r="A461" s="3">
        <v>446</v>
      </c>
      <c r="B461" s="14" t="s">
        <v>27</v>
      </c>
      <c r="C461" s="15" t="str">
        <f>"5/2013-MUP-14"</f>
        <v>5/2013-MUP-14</v>
      </c>
      <c r="D461" s="15" t="str">
        <f t="shared" si="14"/>
        <v>EUROHERC OSIGURANJE D.D.</v>
      </c>
      <c r="E461" s="16">
        <v>42020</v>
      </c>
      <c r="F461" s="16">
        <v>42385</v>
      </c>
      <c r="G461" s="13">
        <v>2907.25</v>
      </c>
      <c r="H461" s="16">
        <v>42385</v>
      </c>
      <c r="I461" s="13">
        <v>2907.25</v>
      </c>
      <c r="J461" s="13">
        <f t="shared" si="15"/>
        <v>2907.25</v>
      </c>
      <c r="K461" s="6"/>
    </row>
    <row r="462" spans="1:11" ht="24" x14ac:dyDescent="0.25">
      <c r="A462" s="3">
        <v>447</v>
      </c>
      <c r="B462" s="14" t="s">
        <v>33</v>
      </c>
      <c r="C462" s="15" t="str">
        <f>"5/2013-MFINCU-10"</f>
        <v>5/2013-MFINCU-10</v>
      </c>
      <c r="D462" s="15" t="str">
        <f t="shared" si="14"/>
        <v>EUROHERC OSIGURANJE D.D.</v>
      </c>
      <c r="E462" s="16">
        <v>42019</v>
      </c>
      <c r="F462" s="16">
        <v>42384</v>
      </c>
      <c r="G462" s="13">
        <v>4098.37</v>
      </c>
      <c r="H462" s="16">
        <v>42384</v>
      </c>
      <c r="I462" s="13">
        <v>4098.37</v>
      </c>
      <c r="J462" s="13">
        <f t="shared" si="15"/>
        <v>4098.37</v>
      </c>
      <c r="K462" s="6"/>
    </row>
    <row r="463" spans="1:11" ht="24" x14ac:dyDescent="0.25">
      <c r="A463" s="3">
        <v>448</v>
      </c>
      <c r="B463" s="14" t="s">
        <v>91</v>
      </c>
      <c r="C463" s="15" t="str">
        <f>"5/2013-MINPO-2"</f>
        <v>5/2013-MINPO-2</v>
      </c>
      <c r="D463" s="15" t="str">
        <f t="shared" si="14"/>
        <v>EUROHERC OSIGURANJE D.D.</v>
      </c>
      <c r="E463" s="16">
        <v>42019</v>
      </c>
      <c r="F463" s="16">
        <v>42384</v>
      </c>
      <c r="G463" s="13">
        <v>5221.12</v>
      </c>
      <c r="H463" s="16">
        <v>42384</v>
      </c>
      <c r="I463" s="13">
        <v>5221.12</v>
      </c>
      <c r="J463" s="13">
        <f t="shared" si="15"/>
        <v>5221.12</v>
      </c>
      <c r="K463" s="6"/>
    </row>
    <row r="464" spans="1:11" ht="24" x14ac:dyDescent="0.25">
      <c r="A464" s="3">
        <v>449</v>
      </c>
      <c r="B464" s="14" t="s">
        <v>27</v>
      </c>
      <c r="C464" s="15" t="str">
        <f>"5/2013-MUP-13"</f>
        <v>5/2013-MUP-13</v>
      </c>
      <c r="D464" s="15" t="str">
        <f t="shared" si="14"/>
        <v>EUROHERC OSIGURANJE D.D.</v>
      </c>
      <c r="E464" s="16">
        <v>42019</v>
      </c>
      <c r="F464" s="16">
        <v>42384</v>
      </c>
      <c r="G464" s="13">
        <v>1164.6500000000001</v>
      </c>
      <c r="H464" s="16">
        <v>42384</v>
      </c>
      <c r="I464" s="13">
        <v>1164.6500000000001</v>
      </c>
      <c r="J464" s="13">
        <f t="shared" si="15"/>
        <v>1164.6500000000001</v>
      </c>
      <c r="K464" s="6"/>
    </row>
    <row r="465" spans="1:11" ht="24" x14ac:dyDescent="0.25">
      <c r="A465" s="3">
        <v>450</v>
      </c>
      <c r="B465" s="14" t="s">
        <v>35</v>
      </c>
      <c r="C465" s="15" t="str">
        <f>"5/2013-DGU-5"</f>
        <v>5/2013-DGU-5</v>
      </c>
      <c r="D465" s="15" t="str">
        <f t="shared" si="14"/>
        <v>EUROHERC OSIGURANJE D.D.</v>
      </c>
      <c r="E465" s="16">
        <v>42019</v>
      </c>
      <c r="F465" s="16">
        <v>42384</v>
      </c>
      <c r="G465" s="13">
        <v>1767.25</v>
      </c>
      <c r="H465" s="16">
        <v>42384</v>
      </c>
      <c r="I465" s="13">
        <v>1767.25</v>
      </c>
      <c r="J465" s="13">
        <f t="shared" si="15"/>
        <v>1767.25</v>
      </c>
      <c r="K465" s="6"/>
    </row>
    <row r="466" spans="1:11" ht="24" x14ac:dyDescent="0.25">
      <c r="A466" s="3">
        <v>451</v>
      </c>
      <c r="B466" s="14" t="s">
        <v>43</v>
      </c>
      <c r="C466" s="15" t="str">
        <f>"5/2013-MRMS-1"</f>
        <v>5/2013-MRMS-1</v>
      </c>
      <c r="D466" s="15" t="str">
        <f t="shared" si="14"/>
        <v>EUROHERC OSIGURANJE D.D.</v>
      </c>
      <c r="E466" s="16">
        <v>42019</v>
      </c>
      <c r="F466" s="16">
        <v>42247</v>
      </c>
      <c r="G466" s="13">
        <v>209131</v>
      </c>
      <c r="H466" s="16">
        <v>42247</v>
      </c>
      <c r="I466" s="13">
        <v>119611.68</v>
      </c>
      <c r="J466" s="13">
        <f t="shared" si="15"/>
        <v>119611.68</v>
      </c>
      <c r="K466" s="6"/>
    </row>
    <row r="467" spans="1:11" ht="24" x14ac:dyDescent="0.25">
      <c r="A467" s="3">
        <v>452</v>
      </c>
      <c r="B467" s="14" t="s">
        <v>90</v>
      </c>
      <c r="C467" s="15" t="str">
        <f>"5/2013-MINGO-1"</f>
        <v>5/2013-MINGO-1</v>
      </c>
      <c r="D467" s="15" t="str">
        <f t="shared" si="14"/>
        <v>EUROHERC OSIGURANJE D.D.</v>
      </c>
      <c r="E467" s="16">
        <v>42019</v>
      </c>
      <c r="F467" s="16">
        <v>42384</v>
      </c>
      <c r="G467" s="13">
        <v>11670.74</v>
      </c>
      <c r="H467" s="16">
        <v>42384</v>
      </c>
      <c r="I467" s="13">
        <v>11670.74</v>
      </c>
      <c r="J467" s="13">
        <f t="shared" si="15"/>
        <v>11670.74</v>
      </c>
      <c r="K467" s="6"/>
    </row>
    <row r="468" spans="1:11" ht="24" x14ac:dyDescent="0.25">
      <c r="A468" s="3">
        <v>453</v>
      </c>
      <c r="B468" s="14" t="s">
        <v>47</v>
      </c>
      <c r="C468" s="15" t="str">
        <f>"5/2013-DUUDI-1"</f>
        <v>5/2013-DUUDI-1</v>
      </c>
      <c r="D468" s="15" t="str">
        <f t="shared" si="14"/>
        <v>EUROHERC OSIGURANJE D.D.</v>
      </c>
      <c r="E468" s="16">
        <v>42019</v>
      </c>
      <c r="F468" s="16">
        <v>42384</v>
      </c>
      <c r="G468" s="13">
        <v>6352.61</v>
      </c>
      <c r="H468" s="16">
        <v>42384</v>
      </c>
      <c r="I468" s="13">
        <v>6352.61</v>
      </c>
      <c r="J468" s="13">
        <f t="shared" si="15"/>
        <v>6352.61</v>
      </c>
      <c r="K468" s="6"/>
    </row>
    <row r="469" spans="1:11" ht="24" x14ac:dyDescent="0.25">
      <c r="A469" s="3">
        <v>454</v>
      </c>
      <c r="B469" s="14" t="s">
        <v>51</v>
      </c>
      <c r="C469" s="15" t="str">
        <f>"5/2013-MINPOLJ-4"</f>
        <v>5/2013-MINPOLJ-4</v>
      </c>
      <c r="D469" s="15" t="str">
        <f t="shared" si="14"/>
        <v>EUROHERC OSIGURANJE D.D.</v>
      </c>
      <c r="E469" s="16">
        <v>42018</v>
      </c>
      <c r="F469" s="16">
        <v>42383</v>
      </c>
      <c r="G469" s="13">
        <v>2042.03</v>
      </c>
      <c r="H469" s="16">
        <v>42383</v>
      </c>
      <c r="I469" s="13">
        <v>2042.03</v>
      </c>
      <c r="J469" s="13">
        <f t="shared" si="15"/>
        <v>2042.03</v>
      </c>
      <c r="K469" s="6"/>
    </row>
    <row r="470" spans="1:11" ht="24" x14ac:dyDescent="0.25">
      <c r="A470" s="3">
        <v>455</v>
      </c>
      <c r="B470" s="14" t="s">
        <v>27</v>
      </c>
      <c r="C470" s="15" t="str">
        <f>"5/2013-MUP-12"</f>
        <v>5/2013-MUP-12</v>
      </c>
      <c r="D470" s="15" t="str">
        <f t="shared" si="14"/>
        <v>EUROHERC OSIGURANJE D.D.</v>
      </c>
      <c r="E470" s="16">
        <v>42018</v>
      </c>
      <c r="F470" s="16">
        <v>42383</v>
      </c>
      <c r="G470" s="13">
        <v>80836.12</v>
      </c>
      <c r="H470" s="16">
        <v>42383</v>
      </c>
      <c r="I470" s="13">
        <v>80836.12</v>
      </c>
      <c r="J470" s="13">
        <f t="shared" si="15"/>
        <v>80836.12</v>
      </c>
      <c r="K470" s="6"/>
    </row>
    <row r="471" spans="1:11" ht="24" x14ac:dyDescent="0.25">
      <c r="A471" s="3">
        <v>456</v>
      </c>
      <c r="B471" s="14" t="s">
        <v>25</v>
      </c>
      <c r="C471" s="15" t="str">
        <f>"5/2013-MK-3"</f>
        <v>5/2013-MK-3</v>
      </c>
      <c r="D471" s="15" t="str">
        <f t="shared" si="14"/>
        <v>EUROHERC OSIGURANJE D.D.</v>
      </c>
      <c r="E471" s="16">
        <v>42018</v>
      </c>
      <c r="F471" s="16">
        <v>42383</v>
      </c>
      <c r="G471" s="13">
        <v>3791.62</v>
      </c>
      <c r="H471" s="16">
        <v>42383</v>
      </c>
      <c r="I471" s="13">
        <v>3791.62</v>
      </c>
      <c r="J471" s="13">
        <f t="shared" si="15"/>
        <v>3791.62</v>
      </c>
      <c r="K471" s="6"/>
    </row>
    <row r="472" spans="1:11" ht="24" x14ac:dyDescent="0.25">
      <c r="A472" s="3">
        <v>457</v>
      </c>
      <c r="B472" s="14" t="s">
        <v>27</v>
      </c>
      <c r="C472" s="15" t="str">
        <f>"5/2013-MUP-11"</f>
        <v>5/2013-MUP-11</v>
      </c>
      <c r="D472" s="15" t="str">
        <f t="shared" si="14"/>
        <v>EUROHERC OSIGURANJE D.D.</v>
      </c>
      <c r="E472" s="16">
        <v>42017</v>
      </c>
      <c r="F472" s="16">
        <v>42382</v>
      </c>
      <c r="G472" s="13">
        <v>59131.56</v>
      </c>
      <c r="H472" s="16">
        <v>42382</v>
      </c>
      <c r="I472" s="13">
        <v>59131.56</v>
      </c>
      <c r="J472" s="13">
        <f t="shared" si="15"/>
        <v>59131.56</v>
      </c>
      <c r="K472" s="6"/>
    </row>
    <row r="473" spans="1:11" ht="24" x14ac:dyDescent="0.25">
      <c r="A473" s="3">
        <v>458</v>
      </c>
      <c r="B473" s="14" t="s">
        <v>33</v>
      </c>
      <c r="C473" s="15" t="str">
        <f>"5/2013-MFINCU-9"</f>
        <v>5/2013-MFINCU-9</v>
      </c>
      <c r="D473" s="15" t="str">
        <f t="shared" si="14"/>
        <v>EUROHERC OSIGURANJE D.D.</v>
      </c>
      <c r="E473" s="16">
        <v>42017</v>
      </c>
      <c r="F473" s="16">
        <v>42382</v>
      </c>
      <c r="G473" s="13">
        <v>3378.37</v>
      </c>
      <c r="H473" s="16">
        <v>42382</v>
      </c>
      <c r="I473" s="13">
        <v>3378.37</v>
      </c>
      <c r="J473" s="13">
        <f t="shared" si="15"/>
        <v>3378.37</v>
      </c>
      <c r="K473" s="6"/>
    </row>
    <row r="474" spans="1:11" ht="24" x14ac:dyDescent="0.25">
      <c r="A474" s="3">
        <v>459</v>
      </c>
      <c r="B474" s="14" t="s">
        <v>25</v>
      </c>
      <c r="C474" s="15" t="str">
        <f>"5/2013-MK-2"</f>
        <v>5/2013-MK-2</v>
      </c>
      <c r="D474" s="15" t="str">
        <f t="shared" si="14"/>
        <v>EUROHERC OSIGURANJE D.D.</v>
      </c>
      <c r="E474" s="16">
        <v>42017</v>
      </c>
      <c r="F474" s="16">
        <v>42382</v>
      </c>
      <c r="G474" s="13">
        <v>1701.69</v>
      </c>
      <c r="H474" s="16">
        <v>42382</v>
      </c>
      <c r="I474" s="13">
        <v>1701.69</v>
      </c>
      <c r="J474" s="13">
        <f t="shared" si="15"/>
        <v>1701.69</v>
      </c>
      <c r="K474" s="6"/>
    </row>
    <row r="475" spans="1:11" ht="24" x14ac:dyDescent="0.25">
      <c r="A475" s="3">
        <v>460</v>
      </c>
      <c r="B475" s="14" t="s">
        <v>61</v>
      </c>
      <c r="C475" s="15" t="str">
        <f>"5/2013-DZM-2"</f>
        <v>5/2013-DZM-2</v>
      </c>
      <c r="D475" s="15" t="str">
        <f t="shared" si="14"/>
        <v>EUROHERC OSIGURANJE D.D.</v>
      </c>
      <c r="E475" s="16">
        <v>42017</v>
      </c>
      <c r="F475" s="16">
        <v>42382</v>
      </c>
      <c r="G475" s="13">
        <v>48.28</v>
      </c>
      <c r="H475" s="16">
        <v>42382</v>
      </c>
      <c r="I475" s="13">
        <v>41.98</v>
      </c>
      <c r="J475" s="13">
        <f t="shared" si="15"/>
        <v>41.98</v>
      </c>
      <c r="K475" s="6"/>
    </row>
    <row r="476" spans="1:11" ht="24" x14ac:dyDescent="0.25">
      <c r="A476" s="3">
        <v>461</v>
      </c>
      <c r="B476" s="14" t="s">
        <v>35</v>
      </c>
      <c r="C476" s="15" t="str">
        <f>"5/2013-DGU-4"</f>
        <v>5/2013-DGU-4</v>
      </c>
      <c r="D476" s="15" t="str">
        <f t="shared" si="14"/>
        <v>EUROHERC OSIGURANJE D.D.</v>
      </c>
      <c r="E476" s="16">
        <v>42017</v>
      </c>
      <c r="F476" s="16">
        <v>42382</v>
      </c>
      <c r="G476" s="13">
        <v>1279.05</v>
      </c>
      <c r="H476" s="16">
        <v>42382</v>
      </c>
      <c r="I476" s="13">
        <v>1279.05</v>
      </c>
      <c r="J476" s="13">
        <f t="shared" si="15"/>
        <v>1279.05</v>
      </c>
      <c r="K476" s="6"/>
    </row>
    <row r="477" spans="1:11" ht="24" x14ac:dyDescent="0.25">
      <c r="A477" s="3">
        <v>462</v>
      </c>
      <c r="B477" s="14" t="s">
        <v>25</v>
      </c>
      <c r="C477" s="15" t="str">
        <f>"5/2013-MK-1"</f>
        <v>5/2013-MK-1</v>
      </c>
      <c r="D477" s="15" t="str">
        <f t="shared" si="14"/>
        <v>EUROHERC OSIGURANJE D.D.</v>
      </c>
      <c r="E477" s="16">
        <v>42016</v>
      </c>
      <c r="F477" s="16">
        <v>42381</v>
      </c>
      <c r="G477" s="13">
        <v>1458.32</v>
      </c>
      <c r="H477" s="16">
        <v>42381</v>
      </c>
      <c r="I477" s="13">
        <v>1458.32</v>
      </c>
      <c r="J477" s="13">
        <f t="shared" si="15"/>
        <v>1458.32</v>
      </c>
      <c r="K477" s="6"/>
    </row>
    <row r="478" spans="1:11" ht="24" x14ac:dyDescent="0.25">
      <c r="A478" s="3">
        <v>463</v>
      </c>
      <c r="B478" s="14" t="s">
        <v>27</v>
      </c>
      <c r="C478" s="15" t="str">
        <f>"5/2013-MUP-10"</f>
        <v>5/2013-MUP-10</v>
      </c>
      <c r="D478" s="15" t="str">
        <f t="shared" si="14"/>
        <v>EUROHERC OSIGURANJE D.D.</v>
      </c>
      <c r="E478" s="16">
        <v>42016</v>
      </c>
      <c r="F478" s="16">
        <v>42381</v>
      </c>
      <c r="G478" s="13">
        <v>33221.32</v>
      </c>
      <c r="H478" s="16">
        <v>42381</v>
      </c>
      <c r="I478" s="13">
        <v>33221.32</v>
      </c>
      <c r="J478" s="13">
        <f t="shared" si="15"/>
        <v>33221.32</v>
      </c>
      <c r="K478" s="6"/>
    </row>
    <row r="479" spans="1:11" ht="24" x14ac:dyDescent="0.25">
      <c r="A479" s="3">
        <v>464</v>
      </c>
      <c r="B479" s="14" t="s">
        <v>36</v>
      </c>
      <c r="C479" s="15" t="str">
        <f>"5/2013-MZ-1"</f>
        <v>5/2013-MZ-1</v>
      </c>
      <c r="D479" s="15" t="str">
        <f t="shared" si="14"/>
        <v>EUROHERC OSIGURANJE D.D.</v>
      </c>
      <c r="E479" s="16">
        <v>42016</v>
      </c>
      <c r="F479" s="16">
        <v>42381</v>
      </c>
      <c r="G479" s="13">
        <v>3324.96</v>
      </c>
      <c r="H479" s="16">
        <v>42381</v>
      </c>
      <c r="I479" s="13">
        <v>3324.96</v>
      </c>
      <c r="J479" s="13">
        <f t="shared" si="15"/>
        <v>3324.96</v>
      </c>
      <c r="K479" s="6"/>
    </row>
    <row r="480" spans="1:11" ht="24" x14ac:dyDescent="0.25">
      <c r="A480" s="3">
        <v>465</v>
      </c>
      <c r="B480" s="14" t="s">
        <v>33</v>
      </c>
      <c r="C480" s="15" t="str">
        <f>"5/2013-MFINCU-8"</f>
        <v>5/2013-MFINCU-8</v>
      </c>
      <c r="D480" s="15" t="str">
        <f t="shared" si="14"/>
        <v>EUROHERC OSIGURANJE D.D.</v>
      </c>
      <c r="E480" s="16">
        <v>42016</v>
      </c>
      <c r="F480" s="16">
        <v>42381</v>
      </c>
      <c r="G480" s="13">
        <v>3069.72</v>
      </c>
      <c r="H480" s="16">
        <v>42381</v>
      </c>
      <c r="I480" s="13">
        <v>3069.72</v>
      </c>
      <c r="J480" s="13">
        <f t="shared" si="15"/>
        <v>3069.72</v>
      </c>
      <c r="K480" s="6"/>
    </row>
    <row r="481" spans="1:11" ht="24" x14ac:dyDescent="0.25">
      <c r="A481" s="3">
        <v>466</v>
      </c>
      <c r="B481" s="14" t="s">
        <v>33</v>
      </c>
      <c r="C481" s="15" t="str">
        <f>"5/2013-MFINCU-7"</f>
        <v>5/2013-MFINCU-7</v>
      </c>
      <c r="D481" s="15" t="str">
        <f t="shared" si="14"/>
        <v>EUROHERC OSIGURANJE D.D.</v>
      </c>
      <c r="E481" s="16">
        <v>42015</v>
      </c>
      <c r="F481" s="16">
        <v>42380</v>
      </c>
      <c r="G481" s="13">
        <v>6587.85</v>
      </c>
      <c r="H481" s="16">
        <v>42380</v>
      </c>
      <c r="I481" s="13">
        <v>6587.85</v>
      </c>
      <c r="J481" s="13">
        <f t="shared" si="15"/>
        <v>6587.85</v>
      </c>
      <c r="K481" s="6"/>
    </row>
    <row r="482" spans="1:11" ht="24" x14ac:dyDescent="0.25">
      <c r="A482" s="3">
        <v>467</v>
      </c>
      <c r="B482" s="14" t="s">
        <v>27</v>
      </c>
      <c r="C482" s="15" t="str">
        <f>"5/2013-MUP-9"</f>
        <v>5/2013-MUP-9</v>
      </c>
      <c r="D482" s="15" t="str">
        <f t="shared" si="14"/>
        <v>EUROHERC OSIGURANJE D.D.</v>
      </c>
      <c r="E482" s="16">
        <v>42015</v>
      </c>
      <c r="F482" s="16">
        <v>42380</v>
      </c>
      <c r="G482" s="13">
        <v>115009.77</v>
      </c>
      <c r="H482" s="16">
        <v>42380</v>
      </c>
      <c r="I482" s="13">
        <v>115009.77</v>
      </c>
      <c r="J482" s="13">
        <f t="shared" si="15"/>
        <v>115009.77</v>
      </c>
      <c r="K482" s="6"/>
    </row>
    <row r="483" spans="1:11" ht="24" x14ac:dyDescent="0.25">
      <c r="A483" s="3">
        <v>468</v>
      </c>
      <c r="B483" s="14" t="s">
        <v>51</v>
      </c>
      <c r="C483" s="15" t="str">
        <f>"5/2013-MINPOLJ-3"</f>
        <v>5/2013-MINPOLJ-3</v>
      </c>
      <c r="D483" s="15" t="str">
        <f t="shared" si="14"/>
        <v>EUROHERC OSIGURANJE D.D.</v>
      </c>
      <c r="E483" s="16">
        <v>42015</v>
      </c>
      <c r="F483" s="16">
        <v>42380</v>
      </c>
      <c r="G483" s="13">
        <v>2722.72</v>
      </c>
      <c r="H483" s="16">
        <v>42380</v>
      </c>
      <c r="I483" s="13">
        <v>2722.72</v>
      </c>
      <c r="J483" s="13">
        <f t="shared" si="15"/>
        <v>2722.72</v>
      </c>
      <c r="K483" s="6"/>
    </row>
    <row r="484" spans="1:11" ht="24" x14ac:dyDescent="0.25">
      <c r="A484" s="3">
        <v>469</v>
      </c>
      <c r="B484" s="14" t="s">
        <v>42</v>
      </c>
      <c r="C484" s="15" t="str">
        <f>"5/2013-MORH-4"</f>
        <v>5/2013-MORH-4</v>
      </c>
      <c r="D484" s="15" t="str">
        <f t="shared" si="14"/>
        <v>EUROHERC OSIGURANJE D.D.</v>
      </c>
      <c r="E484" s="16">
        <v>42015</v>
      </c>
      <c r="F484" s="16">
        <v>42380</v>
      </c>
      <c r="G484" s="13">
        <v>1940.2</v>
      </c>
      <c r="H484" s="16">
        <v>42380</v>
      </c>
      <c r="I484" s="13">
        <v>1552.16</v>
      </c>
      <c r="J484" s="13">
        <f t="shared" si="15"/>
        <v>1552.16</v>
      </c>
      <c r="K484" s="6"/>
    </row>
    <row r="485" spans="1:11" ht="24" x14ac:dyDescent="0.25">
      <c r="A485" s="3">
        <v>470</v>
      </c>
      <c r="B485" s="14" t="s">
        <v>51</v>
      </c>
      <c r="C485" s="15" t="str">
        <f>"5/2013-MINPOLJ-2"</f>
        <v>5/2013-MINPOLJ-2</v>
      </c>
      <c r="D485" s="15" t="str">
        <f t="shared" si="14"/>
        <v>EUROHERC OSIGURANJE D.D.</v>
      </c>
      <c r="E485" s="16">
        <v>42014</v>
      </c>
      <c r="F485" s="16">
        <v>42379</v>
      </c>
      <c r="G485" s="13">
        <v>3374.18</v>
      </c>
      <c r="H485" s="16">
        <v>42379</v>
      </c>
      <c r="I485" s="13">
        <v>3374.18</v>
      </c>
      <c r="J485" s="13">
        <f t="shared" si="15"/>
        <v>3374.18</v>
      </c>
      <c r="K485" s="6"/>
    </row>
    <row r="486" spans="1:11" ht="24" x14ac:dyDescent="0.25">
      <c r="A486" s="3">
        <v>471</v>
      </c>
      <c r="B486" s="14" t="s">
        <v>27</v>
      </c>
      <c r="C486" s="15" t="str">
        <f>"5/2013-MUP-8"</f>
        <v>5/2013-MUP-8</v>
      </c>
      <c r="D486" s="15" t="str">
        <f t="shared" si="14"/>
        <v>EUROHERC OSIGURANJE D.D.</v>
      </c>
      <c r="E486" s="16">
        <v>42014</v>
      </c>
      <c r="F486" s="16">
        <v>42379</v>
      </c>
      <c r="G486" s="13">
        <v>5061.28</v>
      </c>
      <c r="H486" s="16">
        <v>42379</v>
      </c>
      <c r="I486" s="13">
        <v>5061.28</v>
      </c>
      <c r="J486" s="13">
        <f t="shared" si="15"/>
        <v>5061.28</v>
      </c>
      <c r="K486" s="6"/>
    </row>
    <row r="487" spans="1:11" ht="24" x14ac:dyDescent="0.25">
      <c r="A487" s="3">
        <v>472</v>
      </c>
      <c r="B487" s="14" t="s">
        <v>42</v>
      </c>
      <c r="C487" s="15" t="str">
        <f>"5/2013-MORH-3"</f>
        <v>5/2013-MORH-3</v>
      </c>
      <c r="D487" s="15" t="str">
        <f t="shared" si="14"/>
        <v>EUROHERC OSIGURANJE D.D.</v>
      </c>
      <c r="E487" s="16">
        <v>42014</v>
      </c>
      <c r="F487" s="16">
        <v>42379</v>
      </c>
      <c r="G487" s="13">
        <v>5472.34</v>
      </c>
      <c r="H487" s="16">
        <v>42379</v>
      </c>
      <c r="I487" s="13">
        <v>4377.87</v>
      </c>
      <c r="J487" s="13">
        <f t="shared" si="15"/>
        <v>4377.87</v>
      </c>
      <c r="K487" s="6"/>
    </row>
    <row r="488" spans="1:11" ht="24" x14ac:dyDescent="0.25">
      <c r="A488" s="3">
        <v>473</v>
      </c>
      <c r="B488" s="14" t="s">
        <v>35</v>
      </c>
      <c r="C488" s="15" t="str">
        <f>"5/2013-DGU-3"</f>
        <v>5/2013-DGU-3</v>
      </c>
      <c r="D488" s="15" t="str">
        <f t="shared" si="14"/>
        <v>EUROHERC OSIGURANJE D.D.</v>
      </c>
      <c r="E488" s="16">
        <v>42014</v>
      </c>
      <c r="F488" s="16">
        <v>42379</v>
      </c>
      <c r="G488" s="13">
        <v>1210.44</v>
      </c>
      <c r="H488" s="16">
        <v>42379</v>
      </c>
      <c r="I488" s="13">
        <v>1210.44</v>
      </c>
      <c r="J488" s="13">
        <f t="shared" si="15"/>
        <v>1210.44</v>
      </c>
      <c r="K488" s="6"/>
    </row>
    <row r="489" spans="1:11" ht="24" x14ac:dyDescent="0.25">
      <c r="A489" s="3">
        <v>474</v>
      </c>
      <c r="B489" s="14" t="s">
        <v>27</v>
      </c>
      <c r="C489" s="15" t="str">
        <f>"5/2013-MUP-7"</f>
        <v>5/2013-MUP-7</v>
      </c>
      <c r="D489" s="15" t="str">
        <f t="shared" si="14"/>
        <v>EUROHERC OSIGURANJE D.D.</v>
      </c>
      <c r="E489" s="16">
        <v>42013</v>
      </c>
      <c r="F489" s="16">
        <v>42378</v>
      </c>
      <c r="G489" s="13">
        <v>1279.05</v>
      </c>
      <c r="H489" s="16">
        <v>42378</v>
      </c>
      <c r="I489" s="13">
        <v>1279.05</v>
      </c>
      <c r="J489" s="13">
        <f t="shared" si="15"/>
        <v>1279.05</v>
      </c>
      <c r="K489" s="6"/>
    </row>
    <row r="490" spans="1:11" ht="24" x14ac:dyDescent="0.25">
      <c r="A490" s="3">
        <v>475</v>
      </c>
      <c r="B490" s="14" t="s">
        <v>33</v>
      </c>
      <c r="C490" s="15" t="str">
        <f>"5/2013-MFINCU-6"</f>
        <v>5/2013-MFINCU-6</v>
      </c>
      <c r="D490" s="15" t="str">
        <f t="shared" si="14"/>
        <v>EUROHERC OSIGURANJE D.D.</v>
      </c>
      <c r="E490" s="16">
        <v>42013</v>
      </c>
      <c r="F490" s="16">
        <v>42378</v>
      </c>
      <c r="G490" s="13">
        <v>6220.27</v>
      </c>
      <c r="H490" s="16">
        <v>42378</v>
      </c>
      <c r="I490" s="13">
        <v>6220.27</v>
      </c>
      <c r="J490" s="13">
        <f t="shared" si="15"/>
        <v>6220.27</v>
      </c>
      <c r="K490" s="6"/>
    </row>
    <row r="491" spans="1:11" ht="24" x14ac:dyDescent="0.25">
      <c r="A491" s="3">
        <v>476</v>
      </c>
      <c r="B491" s="14" t="s">
        <v>33</v>
      </c>
      <c r="C491" s="15" t="str">
        <f>"5/2013-MFINCU-5"</f>
        <v>5/2013-MFINCU-5</v>
      </c>
      <c r="D491" s="15" t="str">
        <f t="shared" si="14"/>
        <v>EUROHERC OSIGURANJE D.D.</v>
      </c>
      <c r="E491" s="16">
        <v>42012</v>
      </c>
      <c r="F491" s="16">
        <v>42377</v>
      </c>
      <c r="G491" s="13">
        <v>2113.46</v>
      </c>
      <c r="H491" s="16">
        <v>42377</v>
      </c>
      <c r="I491" s="13">
        <v>2113.46</v>
      </c>
      <c r="J491" s="13">
        <f t="shared" si="15"/>
        <v>2113.46</v>
      </c>
      <c r="K491" s="6"/>
    </row>
    <row r="492" spans="1:11" ht="24" x14ac:dyDescent="0.25">
      <c r="A492" s="3">
        <v>477</v>
      </c>
      <c r="B492" s="14" t="s">
        <v>27</v>
      </c>
      <c r="C492" s="15" t="str">
        <f>"5/2013-MUP-6"</f>
        <v>5/2013-MUP-6</v>
      </c>
      <c r="D492" s="15" t="str">
        <f t="shared" si="14"/>
        <v>EUROHERC OSIGURANJE D.D.</v>
      </c>
      <c r="E492" s="16">
        <v>42012</v>
      </c>
      <c r="F492" s="16">
        <v>42377</v>
      </c>
      <c r="G492" s="13">
        <v>1210.44</v>
      </c>
      <c r="H492" s="16">
        <v>42377</v>
      </c>
      <c r="I492" s="13">
        <v>1210.44</v>
      </c>
      <c r="J492" s="13">
        <f t="shared" si="15"/>
        <v>1210.44</v>
      </c>
      <c r="K492" s="6"/>
    </row>
    <row r="493" spans="1:11" ht="24" x14ac:dyDescent="0.25">
      <c r="A493" s="3">
        <v>478</v>
      </c>
      <c r="B493" s="14" t="s">
        <v>42</v>
      </c>
      <c r="C493" s="15" t="str">
        <f>"5/2013-MORH-2"</f>
        <v>5/2013-MORH-2</v>
      </c>
      <c r="D493" s="15" t="str">
        <f t="shared" si="14"/>
        <v>EUROHERC OSIGURANJE D.D.</v>
      </c>
      <c r="E493" s="16">
        <v>42012</v>
      </c>
      <c r="F493" s="16">
        <v>42377</v>
      </c>
      <c r="G493" s="13">
        <v>5820.6</v>
      </c>
      <c r="H493" s="16">
        <v>42377</v>
      </c>
      <c r="I493" s="13">
        <v>4656.4799999999996</v>
      </c>
      <c r="J493" s="13">
        <f t="shared" si="15"/>
        <v>4656.4799999999996</v>
      </c>
      <c r="K493" s="6"/>
    </row>
    <row r="494" spans="1:11" ht="24" x14ac:dyDescent="0.25">
      <c r="A494" s="3">
        <v>479</v>
      </c>
      <c r="B494" s="14" t="s">
        <v>35</v>
      </c>
      <c r="C494" s="15" t="str">
        <f>"5/2013-DGU-2"</f>
        <v>5/2013-DGU-2</v>
      </c>
      <c r="D494" s="15" t="str">
        <f t="shared" si="14"/>
        <v>EUROHERC OSIGURANJE D.D.</v>
      </c>
      <c r="E494" s="16">
        <v>42012</v>
      </c>
      <c r="F494" s="16">
        <v>42377</v>
      </c>
      <c r="G494" s="13">
        <v>1463.19</v>
      </c>
      <c r="H494" s="16">
        <v>42377</v>
      </c>
      <c r="I494" s="13">
        <v>1463.19</v>
      </c>
      <c r="J494" s="13">
        <f t="shared" si="15"/>
        <v>1463.19</v>
      </c>
      <c r="K494" s="6"/>
    </row>
    <row r="495" spans="1:11" ht="24" x14ac:dyDescent="0.25">
      <c r="A495" s="3">
        <v>480</v>
      </c>
      <c r="B495" s="14" t="s">
        <v>27</v>
      </c>
      <c r="C495" s="15" t="str">
        <f>"5/2013-MUP-5"</f>
        <v>5/2013-MUP-5</v>
      </c>
      <c r="D495" s="15" t="str">
        <f t="shared" si="14"/>
        <v>EUROHERC OSIGURANJE D.D.</v>
      </c>
      <c r="E495" s="16">
        <v>42011</v>
      </c>
      <c r="F495" s="16">
        <v>42376</v>
      </c>
      <c r="G495" s="13">
        <v>5467.81</v>
      </c>
      <c r="H495" s="16">
        <v>42376</v>
      </c>
      <c r="I495" s="13">
        <v>5467.81</v>
      </c>
      <c r="J495" s="13">
        <f t="shared" si="15"/>
        <v>5467.81</v>
      </c>
      <c r="K495" s="6"/>
    </row>
    <row r="496" spans="1:11" ht="24" x14ac:dyDescent="0.25">
      <c r="A496" s="3">
        <v>481</v>
      </c>
      <c r="B496" s="14" t="s">
        <v>42</v>
      </c>
      <c r="C496" s="15" t="str">
        <f>"5/2013-MORH-1"</f>
        <v>5/2013-MORH-1</v>
      </c>
      <c r="D496" s="15" t="str">
        <f t="shared" si="14"/>
        <v>EUROHERC OSIGURANJE D.D.</v>
      </c>
      <c r="E496" s="16">
        <v>42011</v>
      </c>
      <c r="F496" s="16">
        <v>42376</v>
      </c>
      <c r="G496" s="13">
        <v>7760.8</v>
      </c>
      <c r="H496" s="16">
        <v>42376</v>
      </c>
      <c r="I496" s="13">
        <v>6208.64</v>
      </c>
      <c r="J496" s="13">
        <f t="shared" si="15"/>
        <v>6208.64</v>
      </c>
      <c r="K496" s="6"/>
    </row>
    <row r="497" spans="1:11" ht="24" x14ac:dyDescent="0.25">
      <c r="A497" s="3">
        <v>482</v>
      </c>
      <c r="B497" s="14" t="s">
        <v>58</v>
      </c>
      <c r="C497" s="15" t="str">
        <f>"5/2013-MZOS-1"</f>
        <v>5/2013-MZOS-1</v>
      </c>
      <c r="D497" s="15" t="str">
        <f t="shared" si="14"/>
        <v>EUROHERC OSIGURANJE D.D.</v>
      </c>
      <c r="E497" s="16">
        <v>42011</v>
      </c>
      <c r="F497" s="16">
        <v>42376</v>
      </c>
      <c r="G497" s="13">
        <v>2222.7800000000002</v>
      </c>
      <c r="H497" s="16">
        <v>42376</v>
      </c>
      <c r="I497" s="13">
        <v>2222.7800000000002</v>
      </c>
      <c r="J497" s="13">
        <f t="shared" si="15"/>
        <v>2222.7800000000002</v>
      </c>
      <c r="K497" s="6"/>
    </row>
    <row r="498" spans="1:11" ht="24" x14ac:dyDescent="0.25">
      <c r="A498" s="3">
        <v>483</v>
      </c>
      <c r="B498" s="14" t="s">
        <v>45</v>
      </c>
      <c r="C498" s="15" t="str">
        <f>"5/2013-MZIP-1"</f>
        <v>5/2013-MZIP-1</v>
      </c>
      <c r="D498" s="15" t="str">
        <f t="shared" si="14"/>
        <v>EUROHERC OSIGURANJE D.D.</v>
      </c>
      <c r="E498" s="16">
        <v>42011</v>
      </c>
      <c r="F498" s="16">
        <v>42376</v>
      </c>
      <c r="G498" s="13">
        <v>4003.3</v>
      </c>
      <c r="H498" s="16">
        <v>42376</v>
      </c>
      <c r="I498" s="13">
        <v>4003.3</v>
      </c>
      <c r="J498" s="13">
        <f t="shared" si="15"/>
        <v>4003.3</v>
      </c>
      <c r="K498" s="6"/>
    </row>
    <row r="499" spans="1:11" ht="24" x14ac:dyDescent="0.25">
      <c r="A499" s="3">
        <v>484</v>
      </c>
      <c r="B499" s="14" t="s">
        <v>27</v>
      </c>
      <c r="C499" s="15" t="str">
        <f>"5/2013-MUP-4"</f>
        <v>5/2013-MUP-4</v>
      </c>
      <c r="D499" s="15" t="str">
        <f t="shared" si="14"/>
        <v>EUROHERC OSIGURANJE D.D.</v>
      </c>
      <c r="E499" s="16">
        <v>42009</v>
      </c>
      <c r="F499" s="16">
        <v>42374</v>
      </c>
      <c r="G499" s="13">
        <v>5004.0600000000004</v>
      </c>
      <c r="H499" s="16">
        <v>42374</v>
      </c>
      <c r="I499" s="13">
        <v>5004.0600000000004</v>
      </c>
      <c r="J499" s="13">
        <f t="shared" si="15"/>
        <v>5004.0600000000004</v>
      </c>
      <c r="K499" s="6"/>
    </row>
    <row r="500" spans="1:11" ht="24" x14ac:dyDescent="0.25">
      <c r="A500" s="3">
        <v>485</v>
      </c>
      <c r="B500" s="14" t="s">
        <v>51</v>
      </c>
      <c r="C500" s="15" t="str">
        <f>"5/2013-MINPOLJ-1"</f>
        <v>5/2013-MINPOLJ-1</v>
      </c>
      <c r="D500" s="15" t="str">
        <f t="shared" si="14"/>
        <v>EUROHERC OSIGURANJE D.D.</v>
      </c>
      <c r="E500" s="16">
        <v>42008</v>
      </c>
      <c r="F500" s="16">
        <v>42373</v>
      </c>
      <c r="G500" s="13">
        <v>8673.83</v>
      </c>
      <c r="H500" s="16">
        <v>42373</v>
      </c>
      <c r="I500" s="13">
        <v>8673.83</v>
      </c>
      <c r="J500" s="13">
        <f t="shared" si="15"/>
        <v>8673.83</v>
      </c>
      <c r="K500" s="6"/>
    </row>
    <row r="501" spans="1:11" ht="24" x14ac:dyDescent="0.25">
      <c r="A501" s="3">
        <v>486</v>
      </c>
      <c r="B501" s="14" t="s">
        <v>27</v>
      </c>
      <c r="C501" s="15" t="str">
        <f>"5/2013-MUP-3"</f>
        <v>5/2013-MUP-3</v>
      </c>
      <c r="D501" s="15" t="str">
        <f t="shared" si="14"/>
        <v>EUROHERC OSIGURANJE D.D.</v>
      </c>
      <c r="E501" s="16">
        <v>42008</v>
      </c>
      <c r="F501" s="16">
        <v>42373</v>
      </c>
      <c r="G501" s="13">
        <v>8616.5499999999993</v>
      </c>
      <c r="H501" s="16">
        <v>42373</v>
      </c>
      <c r="I501" s="13">
        <v>8616.5499999999993</v>
      </c>
      <c r="J501" s="13">
        <f t="shared" si="15"/>
        <v>8616.5499999999993</v>
      </c>
      <c r="K501" s="6"/>
    </row>
    <row r="502" spans="1:11" ht="24" x14ac:dyDescent="0.25">
      <c r="A502" s="3">
        <v>487</v>
      </c>
      <c r="B502" s="14" t="s">
        <v>91</v>
      </c>
      <c r="C502" s="15" t="str">
        <f>"5/2013-MINPO-1"</f>
        <v>5/2013-MINPO-1</v>
      </c>
      <c r="D502" s="15" t="str">
        <f t="shared" si="14"/>
        <v>EUROHERC OSIGURANJE D.D.</v>
      </c>
      <c r="E502" s="16">
        <v>42007</v>
      </c>
      <c r="F502" s="16">
        <v>42372</v>
      </c>
      <c r="G502" s="13">
        <v>4345.54</v>
      </c>
      <c r="H502" s="16">
        <v>42372</v>
      </c>
      <c r="I502" s="13">
        <v>4345.54</v>
      </c>
      <c r="J502" s="13">
        <f t="shared" si="15"/>
        <v>4345.54</v>
      </c>
      <c r="K502" s="6"/>
    </row>
    <row r="503" spans="1:11" ht="24" x14ac:dyDescent="0.25">
      <c r="A503" s="3">
        <v>488</v>
      </c>
      <c r="B503" s="14" t="s">
        <v>27</v>
      </c>
      <c r="C503" s="15" t="str">
        <f>"5/2013-MUP-2"</f>
        <v>5/2013-MUP-2</v>
      </c>
      <c r="D503" s="15" t="str">
        <f t="shared" si="14"/>
        <v>EUROHERC OSIGURANJE D.D.</v>
      </c>
      <c r="E503" s="16">
        <v>42007</v>
      </c>
      <c r="F503" s="16">
        <v>42372</v>
      </c>
      <c r="G503" s="13">
        <v>6134.88</v>
      </c>
      <c r="H503" s="16">
        <v>42372</v>
      </c>
      <c r="I503" s="13">
        <v>6134.88</v>
      </c>
      <c r="J503" s="13">
        <f t="shared" si="15"/>
        <v>6134.88</v>
      </c>
      <c r="K503" s="6"/>
    </row>
    <row r="504" spans="1:11" ht="24" x14ac:dyDescent="0.25">
      <c r="A504" s="3">
        <v>489</v>
      </c>
      <c r="B504" s="14" t="s">
        <v>33</v>
      </c>
      <c r="C504" s="15" t="str">
        <f>"5/2013-MFINCU-4"</f>
        <v>5/2013-MFINCU-4</v>
      </c>
      <c r="D504" s="15" t="str">
        <f t="shared" si="14"/>
        <v>EUROHERC OSIGURANJE D.D.</v>
      </c>
      <c r="E504" s="16">
        <v>42006</v>
      </c>
      <c r="F504" s="16">
        <v>42371</v>
      </c>
      <c r="G504" s="13">
        <v>7740.84</v>
      </c>
      <c r="H504" s="16">
        <v>42371</v>
      </c>
      <c r="I504" s="13">
        <v>7740.84</v>
      </c>
      <c r="J504" s="13">
        <f t="shared" si="15"/>
        <v>7740.84</v>
      </c>
      <c r="K504" s="6"/>
    </row>
    <row r="505" spans="1:11" ht="24" x14ac:dyDescent="0.25">
      <c r="A505" s="3">
        <v>490</v>
      </c>
      <c r="B505" s="14" t="s">
        <v>27</v>
      </c>
      <c r="C505" s="15" t="str">
        <f>"5/2013-MUP-1"</f>
        <v>5/2013-MUP-1</v>
      </c>
      <c r="D505" s="15" t="str">
        <f t="shared" si="14"/>
        <v>EUROHERC OSIGURANJE D.D.</v>
      </c>
      <c r="E505" s="16">
        <v>42006</v>
      </c>
      <c r="F505" s="16">
        <v>42371</v>
      </c>
      <c r="G505" s="13">
        <v>8259.26</v>
      </c>
      <c r="H505" s="16">
        <v>42371</v>
      </c>
      <c r="I505" s="13">
        <v>8259.26</v>
      </c>
      <c r="J505" s="13">
        <f t="shared" si="15"/>
        <v>8259.26</v>
      </c>
      <c r="K505" s="6"/>
    </row>
    <row r="506" spans="1:11" ht="24" x14ac:dyDescent="0.25">
      <c r="A506" s="3">
        <v>491</v>
      </c>
      <c r="B506" s="14" t="s">
        <v>55</v>
      </c>
      <c r="C506" s="15" t="str">
        <f>"S/2015"</f>
        <v>S/2015</v>
      </c>
      <c r="D506" s="15" t="str">
        <f t="shared" si="14"/>
        <v>EUROHERC OSIGURANJE D.D.</v>
      </c>
      <c r="E506" s="16">
        <v>42005</v>
      </c>
      <c r="F506" s="16">
        <v>42249</v>
      </c>
      <c r="G506" s="13">
        <v>114749.62</v>
      </c>
      <c r="H506" s="16">
        <v>42249</v>
      </c>
      <c r="I506" s="13">
        <v>114749.62</v>
      </c>
      <c r="J506" s="13">
        <f t="shared" si="15"/>
        <v>114749.62</v>
      </c>
      <c r="K506" s="6"/>
    </row>
    <row r="507" spans="1:11" ht="24" x14ac:dyDescent="0.25">
      <c r="A507" s="3">
        <v>492</v>
      </c>
      <c r="B507" s="14" t="s">
        <v>53</v>
      </c>
      <c r="C507" s="15" t="str">
        <f>"5/2013-MB-1"</f>
        <v>5/2013-MB-1</v>
      </c>
      <c r="D507" s="15" t="str">
        <f t="shared" si="14"/>
        <v>EUROHERC OSIGURANJE D.D.</v>
      </c>
      <c r="E507" s="16">
        <v>42005</v>
      </c>
      <c r="F507" s="16">
        <v>42267</v>
      </c>
      <c r="G507" s="13">
        <v>0</v>
      </c>
      <c r="H507" s="16">
        <v>42267</v>
      </c>
      <c r="I507" s="13">
        <v>37308.660000000003</v>
      </c>
      <c r="J507" s="13">
        <f t="shared" si="15"/>
        <v>37308.660000000003</v>
      </c>
      <c r="K507" s="6"/>
    </row>
    <row r="508" spans="1:11" ht="24" x14ac:dyDescent="0.25">
      <c r="A508" s="3">
        <v>493</v>
      </c>
      <c r="B508" s="14" t="s">
        <v>62</v>
      </c>
      <c r="C508" s="15" t="str">
        <f>"030-01/15-01/28"</f>
        <v>030-01/15-01/28</v>
      </c>
      <c r="D508" s="15" t="str">
        <f t="shared" si="14"/>
        <v>EUROHERC OSIGURANJE D.D.</v>
      </c>
      <c r="E508" s="16">
        <v>42426</v>
      </c>
      <c r="F508" s="16">
        <v>42369</v>
      </c>
      <c r="G508" s="13">
        <v>0</v>
      </c>
      <c r="H508" s="16">
        <v>42369</v>
      </c>
      <c r="I508" s="13">
        <v>190714.29</v>
      </c>
      <c r="J508" s="13">
        <f t="shared" si="15"/>
        <v>190714.29</v>
      </c>
      <c r="K508" s="6"/>
    </row>
    <row r="509" spans="1:11" ht="7.5" customHeight="1" x14ac:dyDescent="0.25"/>
    <row r="510" spans="1:11" ht="42" customHeight="1" x14ac:dyDescent="0.25">
      <c r="A510" s="1" t="s">
        <v>0</v>
      </c>
      <c r="B510" s="2" t="s">
        <v>1</v>
      </c>
      <c r="C510" s="2" t="s">
        <v>6</v>
      </c>
      <c r="D510" s="2" t="s">
        <v>2</v>
      </c>
      <c r="E510" s="2" t="s">
        <v>3</v>
      </c>
      <c r="F510" s="2" t="s">
        <v>7</v>
      </c>
      <c r="G510" s="2" t="s">
        <v>8</v>
      </c>
      <c r="H510" s="2" t="s">
        <v>4</v>
      </c>
      <c r="I510" s="2" t="s">
        <v>5</v>
      </c>
    </row>
    <row r="511" spans="1:11" ht="36" x14ac:dyDescent="0.25">
      <c r="A511" s="3">
        <v>1</v>
      </c>
      <c r="B511" s="19" t="s">
        <v>680</v>
      </c>
      <c r="C511" s="20" t="s">
        <v>644</v>
      </c>
      <c r="D511" s="3" t="s">
        <v>684</v>
      </c>
      <c r="E511" s="3" t="s">
        <v>24</v>
      </c>
      <c r="F511" s="21">
        <v>42243</v>
      </c>
      <c r="G511" s="3" t="s">
        <v>659</v>
      </c>
      <c r="H511" s="13">
        <v>27000000</v>
      </c>
      <c r="I511" s="13">
        <v>10060632.9</v>
      </c>
    </row>
    <row r="512" spans="1:11" x14ac:dyDescent="0.25">
      <c r="A512" s="42" t="s">
        <v>706</v>
      </c>
      <c r="B512" s="43"/>
      <c r="C512" s="43"/>
      <c r="D512" s="43"/>
      <c r="E512" s="43"/>
      <c r="F512" s="43"/>
      <c r="G512" s="43"/>
      <c r="H512" s="44"/>
      <c r="I512" s="13">
        <v>485076.1</v>
      </c>
    </row>
    <row r="513" spans="1:11" ht="7.5" customHeight="1" x14ac:dyDescent="0.25"/>
    <row r="514" spans="1:11" x14ac:dyDescent="0.25">
      <c r="A514" s="46" t="s">
        <v>20</v>
      </c>
      <c r="B514" s="46"/>
      <c r="C514" s="46"/>
      <c r="D514" s="46"/>
      <c r="E514" s="46"/>
      <c r="F514" s="46"/>
      <c r="G514" s="46"/>
      <c r="H514" s="46"/>
      <c r="I514" s="46"/>
      <c r="J514" s="46"/>
      <c r="K514" s="46"/>
    </row>
    <row r="515" spans="1:11" ht="63.75" customHeight="1" x14ac:dyDescent="0.25">
      <c r="A515" s="4" t="s">
        <v>0</v>
      </c>
      <c r="B515" s="5" t="s">
        <v>10</v>
      </c>
      <c r="C515" s="5" t="s">
        <v>9</v>
      </c>
      <c r="D515" s="5" t="s">
        <v>13</v>
      </c>
      <c r="E515" s="5" t="s">
        <v>12</v>
      </c>
      <c r="F515" s="5" t="s">
        <v>11</v>
      </c>
      <c r="G515" s="5" t="s">
        <v>18</v>
      </c>
      <c r="H515" s="5" t="s">
        <v>14</v>
      </c>
      <c r="I515" s="5" t="s">
        <v>15</v>
      </c>
      <c r="J515" s="5" t="s">
        <v>647</v>
      </c>
      <c r="K515" s="5" t="s">
        <v>17</v>
      </c>
    </row>
    <row r="516" spans="1:11" ht="24" x14ac:dyDescent="0.25">
      <c r="A516" s="3">
        <v>1</v>
      </c>
      <c r="B516" s="14" t="s">
        <v>41</v>
      </c>
      <c r="C516" s="15" t="str">
        <f>"POL. 016238363495"</f>
        <v>POL. 016238363495</v>
      </c>
      <c r="D516" s="15" t="str">
        <f t="shared" ref="D516:D547" si="16">CONCATENATE("CROATIA OSIGURANJE D.D.")</f>
        <v>CROATIA OSIGURANJE D.D.</v>
      </c>
      <c r="E516" s="16">
        <v>42351</v>
      </c>
      <c r="F516" s="16">
        <v>42717</v>
      </c>
      <c r="G516" s="13">
        <v>441.7</v>
      </c>
      <c r="H516" s="16">
        <v>42717</v>
      </c>
      <c r="I516" s="13">
        <v>441.7</v>
      </c>
      <c r="J516" s="13">
        <f>I516</f>
        <v>441.7</v>
      </c>
      <c r="K516" s="6"/>
    </row>
    <row r="517" spans="1:11" ht="36" x14ac:dyDescent="0.25">
      <c r="A517" s="3">
        <v>2</v>
      </c>
      <c r="B517" s="14" t="s">
        <v>59</v>
      </c>
      <c r="C517" s="15" t="str">
        <f>"000542/2015"</f>
        <v>000542/2015</v>
      </c>
      <c r="D517" s="15" t="str">
        <f t="shared" si="16"/>
        <v>CROATIA OSIGURANJE D.D.</v>
      </c>
      <c r="E517" s="16">
        <v>42341</v>
      </c>
      <c r="F517" s="16"/>
      <c r="G517" s="13">
        <v>4396.95</v>
      </c>
      <c r="H517" s="16"/>
      <c r="I517" s="13">
        <v>4396.95</v>
      </c>
      <c r="J517" s="13">
        <f t="shared" ref="J517:J580" si="17">I517</f>
        <v>4396.95</v>
      </c>
      <c r="K517" s="6"/>
    </row>
    <row r="518" spans="1:11" ht="24" x14ac:dyDescent="0.25">
      <c r="A518" s="3">
        <v>3</v>
      </c>
      <c r="B518" s="14" t="s">
        <v>45</v>
      </c>
      <c r="C518" s="15" t="str">
        <f>"4/2015-U1"</f>
        <v>4/2015-U1</v>
      </c>
      <c r="D518" s="15" t="str">
        <f t="shared" si="16"/>
        <v>CROATIA OSIGURANJE D.D.</v>
      </c>
      <c r="E518" s="16">
        <v>42248</v>
      </c>
      <c r="F518" s="16"/>
      <c r="G518" s="13">
        <v>88000</v>
      </c>
      <c r="H518" s="16"/>
      <c r="I518" s="13">
        <v>2596.56</v>
      </c>
      <c r="J518" s="13">
        <f t="shared" si="17"/>
        <v>2596.56</v>
      </c>
      <c r="K518" s="6"/>
    </row>
    <row r="519" spans="1:11" ht="24" x14ac:dyDescent="0.25">
      <c r="A519" s="3">
        <v>4</v>
      </c>
      <c r="B519" s="14" t="s">
        <v>49</v>
      </c>
      <c r="C519" s="15" t="str">
        <f>"1039/2015"</f>
        <v>1039/2015</v>
      </c>
      <c r="D519" s="15" t="str">
        <f t="shared" si="16"/>
        <v>CROATIA OSIGURANJE D.D.</v>
      </c>
      <c r="E519" s="16">
        <v>42297</v>
      </c>
      <c r="F519" s="16"/>
      <c r="G519" s="13">
        <v>370.43</v>
      </c>
      <c r="H519" s="16"/>
      <c r="I519" s="13">
        <v>370.43</v>
      </c>
      <c r="J519" s="13">
        <f t="shared" si="17"/>
        <v>370.43</v>
      </c>
      <c r="K519" s="6"/>
    </row>
    <row r="520" spans="1:11" ht="24" x14ac:dyDescent="0.25">
      <c r="A520" s="3">
        <v>5</v>
      </c>
      <c r="B520" s="14" t="s">
        <v>49</v>
      </c>
      <c r="C520" s="15" t="str">
        <f>"1040/2015"</f>
        <v>1040/2015</v>
      </c>
      <c r="D520" s="15" t="str">
        <f t="shared" si="16"/>
        <v>CROATIA OSIGURANJE D.D.</v>
      </c>
      <c r="E520" s="16">
        <v>42297</v>
      </c>
      <c r="F520" s="16"/>
      <c r="G520" s="13">
        <v>270.91000000000003</v>
      </c>
      <c r="H520" s="16"/>
      <c r="I520" s="13">
        <v>270.91000000000003</v>
      </c>
      <c r="J520" s="13">
        <f t="shared" si="17"/>
        <v>270.91000000000003</v>
      </c>
      <c r="K520" s="6"/>
    </row>
    <row r="521" spans="1:11" ht="24" x14ac:dyDescent="0.25">
      <c r="A521" s="3">
        <v>6</v>
      </c>
      <c r="B521" s="14" t="s">
        <v>49</v>
      </c>
      <c r="C521" s="15" t="str">
        <f>"1041/2015"</f>
        <v>1041/2015</v>
      </c>
      <c r="D521" s="15" t="str">
        <f t="shared" si="16"/>
        <v>CROATIA OSIGURANJE D.D.</v>
      </c>
      <c r="E521" s="16">
        <v>42297</v>
      </c>
      <c r="F521" s="16"/>
      <c r="G521" s="13">
        <v>370.43</v>
      </c>
      <c r="H521" s="16"/>
      <c r="I521" s="13">
        <v>370.43</v>
      </c>
      <c r="J521" s="13">
        <f t="shared" si="17"/>
        <v>370.43</v>
      </c>
      <c r="K521" s="6"/>
    </row>
    <row r="522" spans="1:11" ht="24" x14ac:dyDescent="0.25">
      <c r="A522" s="3">
        <v>7</v>
      </c>
      <c r="B522" s="14" t="s">
        <v>49</v>
      </c>
      <c r="C522" s="15" t="str">
        <f>"1042/2015"</f>
        <v>1042/2015</v>
      </c>
      <c r="D522" s="15" t="str">
        <f t="shared" si="16"/>
        <v>CROATIA OSIGURANJE D.D.</v>
      </c>
      <c r="E522" s="16">
        <v>42297</v>
      </c>
      <c r="F522" s="16"/>
      <c r="G522" s="13">
        <v>406.37</v>
      </c>
      <c r="H522" s="16"/>
      <c r="I522" s="13">
        <v>406.37</v>
      </c>
      <c r="J522" s="13">
        <f t="shared" si="17"/>
        <v>406.37</v>
      </c>
      <c r="K522" s="6"/>
    </row>
    <row r="523" spans="1:11" ht="24" x14ac:dyDescent="0.25">
      <c r="A523" s="3">
        <v>8</v>
      </c>
      <c r="B523" s="14" t="s">
        <v>49</v>
      </c>
      <c r="C523" s="15" t="str">
        <f>"1043/2015"</f>
        <v>1043/2015</v>
      </c>
      <c r="D523" s="15" t="str">
        <f t="shared" si="16"/>
        <v>CROATIA OSIGURANJE D.D.</v>
      </c>
      <c r="E523" s="16">
        <v>42297</v>
      </c>
      <c r="F523" s="16"/>
      <c r="G523" s="13">
        <v>270.91000000000003</v>
      </c>
      <c r="H523" s="16"/>
      <c r="I523" s="13">
        <v>270.91000000000003</v>
      </c>
      <c r="J523" s="13">
        <f t="shared" si="17"/>
        <v>270.91000000000003</v>
      </c>
      <c r="K523" s="6"/>
    </row>
    <row r="524" spans="1:11" ht="24" x14ac:dyDescent="0.25">
      <c r="A524" s="3">
        <v>9</v>
      </c>
      <c r="B524" s="14" t="s">
        <v>49</v>
      </c>
      <c r="C524" s="15" t="str">
        <f>"1044/2015"</f>
        <v>1044/2015</v>
      </c>
      <c r="D524" s="15" t="str">
        <f t="shared" si="16"/>
        <v>CROATIA OSIGURANJE D.D.</v>
      </c>
      <c r="E524" s="16">
        <v>42297</v>
      </c>
      <c r="F524" s="16"/>
      <c r="G524" s="13">
        <v>370.43</v>
      </c>
      <c r="H524" s="16"/>
      <c r="I524" s="13">
        <v>370.43</v>
      </c>
      <c r="J524" s="13">
        <f t="shared" si="17"/>
        <v>370.43</v>
      </c>
      <c r="K524" s="6"/>
    </row>
    <row r="525" spans="1:11" ht="24" x14ac:dyDescent="0.25">
      <c r="A525" s="3">
        <v>10</v>
      </c>
      <c r="B525" s="14" t="s">
        <v>49</v>
      </c>
      <c r="C525" s="15" t="str">
        <f>"1045/2015"</f>
        <v>1045/2015</v>
      </c>
      <c r="D525" s="15" t="str">
        <f t="shared" si="16"/>
        <v>CROATIA OSIGURANJE D.D.</v>
      </c>
      <c r="E525" s="16">
        <v>42297</v>
      </c>
      <c r="F525" s="16"/>
      <c r="G525" s="13">
        <v>270.91000000000003</v>
      </c>
      <c r="H525" s="16"/>
      <c r="I525" s="13">
        <v>270.91000000000003</v>
      </c>
      <c r="J525" s="13">
        <f t="shared" si="17"/>
        <v>270.91000000000003</v>
      </c>
      <c r="K525" s="6"/>
    </row>
    <row r="526" spans="1:11" ht="24" x14ac:dyDescent="0.25">
      <c r="A526" s="3">
        <v>11</v>
      </c>
      <c r="B526" s="14" t="s">
        <v>49</v>
      </c>
      <c r="C526" s="15" t="str">
        <f>"1046/2015"</f>
        <v>1046/2015</v>
      </c>
      <c r="D526" s="15" t="str">
        <f t="shared" si="16"/>
        <v>CROATIA OSIGURANJE D.D.</v>
      </c>
      <c r="E526" s="16">
        <v>42297</v>
      </c>
      <c r="F526" s="16"/>
      <c r="G526" s="13">
        <v>361.21</v>
      </c>
      <c r="H526" s="16"/>
      <c r="I526" s="13">
        <v>361.21</v>
      </c>
      <c r="J526" s="13">
        <f t="shared" si="17"/>
        <v>361.21</v>
      </c>
      <c r="K526" s="6"/>
    </row>
    <row r="527" spans="1:11" ht="24" x14ac:dyDescent="0.25">
      <c r="A527" s="3">
        <v>12</v>
      </c>
      <c r="B527" s="14" t="s">
        <v>49</v>
      </c>
      <c r="C527" s="15" t="str">
        <f>"1047/2015"</f>
        <v>1047/2015</v>
      </c>
      <c r="D527" s="15" t="str">
        <f t="shared" si="16"/>
        <v>CROATIA OSIGURANJE D.D.</v>
      </c>
      <c r="E527" s="16">
        <v>42297</v>
      </c>
      <c r="F527" s="16"/>
      <c r="G527" s="13">
        <v>370.43</v>
      </c>
      <c r="H527" s="16"/>
      <c r="I527" s="13">
        <v>370.43</v>
      </c>
      <c r="J527" s="13">
        <f t="shared" si="17"/>
        <v>370.43</v>
      </c>
      <c r="K527" s="6"/>
    </row>
    <row r="528" spans="1:11" ht="24" x14ac:dyDescent="0.25">
      <c r="A528" s="3">
        <v>13</v>
      </c>
      <c r="B528" s="14" t="s">
        <v>49</v>
      </c>
      <c r="C528" s="15" t="str">
        <f>"1049/2015"</f>
        <v>1049/2015</v>
      </c>
      <c r="D528" s="15" t="str">
        <f t="shared" si="16"/>
        <v>CROATIA OSIGURANJE D.D.</v>
      </c>
      <c r="E528" s="16">
        <v>42297</v>
      </c>
      <c r="F528" s="16"/>
      <c r="G528" s="13">
        <v>270.91000000000003</v>
      </c>
      <c r="H528" s="16"/>
      <c r="I528" s="13">
        <v>270.91000000000003</v>
      </c>
      <c r="J528" s="13">
        <f t="shared" si="17"/>
        <v>270.91000000000003</v>
      </c>
      <c r="K528" s="6"/>
    </row>
    <row r="529" spans="1:11" ht="24" x14ac:dyDescent="0.25">
      <c r="A529" s="3">
        <v>14</v>
      </c>
      <c r="B529" s="14" t="s">
        <v>49</v>
      </c>
      <c r="C529" s="15" t="str">
        <f>"1051/2015"</f>
        <v>1051/2015</v>
      </c>
      <c r="D529" s="15" t="str">
        <f t="shared" si="16"/>
        <v>CROATIA OSIGURANJE D.D.</v>
      </c>
      <c r="E529" s="16">
        <v>42297</v>
      </c>
      <c r="F529" s="16"/>
      <c r="G529" s="13">
        <v>270.91000000000003</v>
      </c>
      <c r="H529" s="16"/>
      <c r="I529" s="13">
        <v>270.91000000000003</v>
      </c>
      <c r="J529" s="13">
        <f t="shared" si="17"/>
        <v>270.91000000000003</v>
      </c>
      <c r="K529" s="6"/>
    </row>
    <row r="530" spans="1:11" ht="24" x14ac:dyDescent="0.25">
      <c r="A530" s="3">
        <v>15</v>
      </c>
      <c r="B530" s="14" t="s">
        <v>49</v>
      </c>
      <c r="C530" s="15" t="str">
        <f>"1052/2015"</f>
        <v>1052/2015</v>
      </c>
      <c r="D530" s="15" t="str">
        <f t="shared" si="16"/>
        <v>CROATIA OSIGURANJE D.D.</v>
      </c>
      <c r="E530" s="16">
        <v>42297</v>
      </c>
      <c r="F530" s="16"/>
      <c r="G530" s="13">
        <v>1690.76</v>
      </c>
      <c r="H530" s="16"/>
      <c r="I530" s="13">
        <v>5610.01</v>
      </c>
      <c r="J530" s="13">
        <f t="shared" si="17"/>
        <v>5610.01</v>
      </c>
      <c r="K530" s="6"/>
    </row>
    <row r="531" spans="1:11" ht="24" x14ac:dyDescent="0.25">
      <c r="A531" s="3">
        <v>16</v>
      </c>
      <c r="B531" s="14" t="s">
        <v>32</v>
      </c>
      <c r="C531" s="15" t="str">
        <f>"DHMZ-4/2015"</f>
        <v>DHMZ-4/2015</v>
      </c>
      <c r="D531" s="15" t="str">
        <f t="shared" si="16"/>
        <v>CROATIA OSIGURANJE D.D.</v>
      </c>
      <c r="E531" s="16">
        <v>42331</v>
      </c>
      <c r="F531" s="16"/>
      <c r="G531" s="13">
        <v>210000</v>
      </c>
      <c r="H531" s="16"/>
      <c r="I531" s="13">
        <v>3947.81</v>
      </c>
      <c r="J531" s="13">
        <f t="shared" si="17"/>
        <v>3947.81</v>
      </c>
      <c r="K531" s="6"/>
    </row>
    <row r="532" spans="1:11" ht="24" x14ac:dyDescent="0.25">
      <c r="A532" s="3">
        <v>17</v>
      </c>
      <c r="B532" s="14" t="s">
        <v>26</v>
      </c>
      <c r="C532" s="15" t="str">
        <f>"69/2015-TM-ŽO"</f>
        <v>69/2015-TM-ŽO</v>
      </c>
      <c r="D532" s="15" t="str">
        <f t="shared" si="16"/>
        <v>CROATIA OSIGURANJE D.D.</v>
      </c>
      <c r="E532" s="16">
        <v>42276</v>
      </c>
      <c r="F532" s="16"/>
      <c r="G532" s="13">
        <v>567.74</v>
      </c>
      <c r="H532" s="16"/>
      <c r="I532" s="13">
        <v>567.74</v>
      </c>
      <c r="J532" s="13">
        <f t="shared" si="17"/>
        <v>567.74</v>
      </c>
      <c r="K532" s="6"/>
    </row>
    <row r="533" spans="1:11" ht="24" x14ac:dyDescent="0.25">
      <c r="A533" s="3">
        <v>18</v>
      </c>
      <c r="B533" s="14" t="s">
        <v>26</v>
      </c>
      <c r="C533" s="15" t="str">
        <f>"122/2015-TS-ŽO"</f>
        <v>122/2015-TS-ŽO</v>
      </c>
      <c r="D533" s="15" t="str">
        <f t="shared" si="16"/>
        <v>CROATIA OSIGURANJE D.D.</v>
      </c>
      <c r="E533" s="16">
        <v>42341</v>
      </c>
      <c r="F533" s="16"/>
      <c r="G533" s="13">
        <v>406.26</v>
      </c>
      <c r="H533" s="16"/>
      <c r="I533" s="13">
        <v>406.26</v>
      </c>
      <c r="J533" s="13">
        <f t="shared" si="17"/>
        <v>406.26</v>
      </c>
      <c r="K533" s="6"/>
    </row>
    <row r="534" spans="1:11" ht="24" x14ac:dyDescent="0.25">
      <c r="A534" s="3">
        <v>19</v>
      </c>
      <c r="B534" s="14" t="s">
        <v>39</v>
      </c>
      <c r="C534" s="15" t="str">
        <f>"504/15"</f>
        <v>504/15</v>
      </c>
      <c r="D534" s="15" t="str">
        <f t="shared" si="16"/>
        <v>CROATIA OSIGURANJE D.D.</v>
      </c>
      <c r="E534" s="16">
        <v>42276</v>
      </c>
      <c r="F534" s="16"/>
      <c r="G534" s="13">
        <v>14302.14</v>
      </c>
      <c r="H534" s="16"/>
      <c r="I534" s="13">
        <v>2474.46</v>
      </c>
      <c r="J534" s="13">
        <f t="shared" si="17"/>
        <v>2474.46</v>
      </c>
      <c r="K534" s="6"/>
    </row>
    <row r="535" spans="1:11" ht="24" x14ac:dyDescent="0.25">
      <c r="A535" s="3">
        <v>20</v>
      </c>
      <c r="B535" s="14" t="s">
        <v>39</v>
      </c>
      <c r="C535" s="15" t="str">
        <f>"561/15"</f>
        <v>561/15</v>
      </c>
      <c r="D535" s="15" t="str">
        <f t="shared" si="16"/>
        <v>CROATIA OSIGURANJE D.D.</v>
      </c>
      <c r="E535" s="16">
        <v>42304</v>
      </c>
      <c r="F535" s="16"/>
      <c r="G535" s="13">
        <v>1179.9000000000001</v>
      </c>
      <c r="H535" s="16"/>
      <c r="I535" s="13">
        <v>1179.9000000000001</v>
      </c>
      <c r="J535" s="13">
        <f t="shared" si="17"/>
        <v>1179.9000000000001</v>
      </c>
      <c r="K535" s="6"/>
    </row>
    <row r="536" spans="1:11" ht="24" x14ac:dyDescent="0.25">
      <c r="A536" s="3">
        <v>21</v>
      </c>
      <c r="B536" s="14" t="s">
        <v>39</v>
      </c>
      <c r="C536" s="15" t="str">
        <f>"59/15"</f>
        <v>59/15</v>
      </c>
      <c r="D536" s="15" t="str">
        <f t="shared" si="16"/>
        <v>CROATIA OSIGURANJE D.D.</v>
      </c>
      <c r="E536" s="16">
        <v>42318</v>
      </c>
      <c r="F536" s="16"/>
      <c r="G536" s="13">
        <v>282.2</v>
      </c>
      <c r="H536" s="16"/>
      <c r="I536" s="13">
        <v>282.2</v>
      </c>
      <c r="J536" s="13">
        <f t="shared" si="17"/>
        <v>282.2</v>
      </c>
      <c r="K536" s="6"/>
    </row>
    <row r="537" spans="1:11" ht="24" x14ac:dyDescent="0.25">
      <c r="A537" s="3">
        <v>22</v>
      </c>
      <c r="B537" s="14" t="s">
        <v>39</v>
      </c>
      <c r="C537" s="15" t="str">
        <f>"631/15"</f>
        <v>631/15</v>
      </c>
      <c r="D537" s="15" t="str">
        <f t="shared" si="16"/>
        <v>CROATIA OSIGURANJE D.D.</v>
      </c>
      <c r="E537" s="16">
        <v>42334</v>
      </c>
      <c r="F537" s="16"/>
      <c r="G537" s="13">
        <v>564.4</v>
      </c>
      <c r="H537" s="16"/>
      <c r="I537" s="13">
        <v>564.4</v>
      </c>
      <c r="J537" s="13">
        <f t="shared" si="17"/>
        <v>564.4</v>
      </c>
      <c r="K537" s="6"/>
    </row>
    <row r="538" spans="1:11" ht="24" x14ac:dyDescent="0.25">
      <c r="A538" s="3">
        <v>23</v>
      </c>
      <c r="B538" s="14" t="s">
        <v>39</v>
      </c>
      <c r="C538" s="15" t="str">
        <f>"661/15"</f>
        <v>661/15</v>
      </c>
      <c r="D538" s="15" t="str">
        <f t="shared" si="16"/>
        <v>CROATIA OSIGURANJE D.D.</v>
      </c>
      <c r="E538" s="16">
        <v>42347</v>
      </c>
      <c r="F538" s="16"/>
      <c r="G538" s="13">
        <v>8218.2099999999991</v>
      </c>
      <c r="H538" s="16"/>
      <c r="I538" s="13">
        <v>1179.8</v>
      </c>
      <c r="J538" s="13">
        <f t="shared" si="17"/>
        <v>1179.8</v>
      </c>
      <c r="K538" s="6"/>
    </row>
    <row r="539" spans="1:11" ht="24" x14ac:dyDescent="0.25">
      <c r="A539" s="3">
        <v>24</v>
      </c>
      <c r="B539" s="14" t="s">
        <v>39</v>
      </c>
      <c r="C539" s="15" t="str">
        <f>"149/15"</f>
        <v>149/15</v>
      </c>
      <c r="D539" s="15" t="str">
        <f t="shared" si="16"/>
        <v>CROATIA OSIGURANJE D.D.</v>
      </c>
      <c r="E539" s="16">
        <v>42086</v>
      </c>
      <c r="F539" s="16"/>
      <c r="G539" s="13">
        <v>0</v>
      </c>
      <c r="H539" s="16"/>
      <c r="I539" s="13">
        <v>0</v>
      </c>
      <c r="J539" s="13">
        <f t="shared" si="17"/>
        <v>0</v>
      </c>
      <c r="K539" s="6"/>
    </row>
    <row r="540" spans="1:11" ht="24" x14ac:dyDescent="0.25">
      <c r="A540" s="3">
        <v>25</v>
      </c>
      <c r="B540" s="14" t="s">
        <v>30</v>
      </c>
      <c r="C540" s="15" t="str">
        <f>"518/2015"</f>
        <v>518/2015</v>
      </c>
      <c r="D540" s="15" t="str">
        <f t="shared" si="16"/>
        <v>CROATIA OSIGURANJE D.D.</v>
      </c>
      <c r="E540" s="16">
        <v>42288</v>
      </c>
      <c r="F540" s="16"/>
      <c r="G540" s="13">
        <v>338</v>
      </c>
      <c r="H540" s="16"/>
      <c r="I540" s="13">
        <v>338</v>
      </c>
      <c r="J540" s="13">
        <f t="shared" si="17"/>
        <v>338</v>
      </c>
      <c r="K540" s="6"/>
    </row>
    <row r="541" spans="1:11" ht="24" x14ac:dyDescent="0.25">
      <c r="A541" s="3">
        <v>26</v>
      </c>
      <c r="B541" s="14" t="s">
        <v>30</v>
      </c>
      <c r="C541" s="15" t="str">
        <f>"768/2015"</f>
        <v>768/2015</v>
      </c>
      <c r="D541" s="15" t="str">
        <f t="shared" si="16"/>
        <v>CROATIA OSIGURANJE D.D.</v>
      </c>
      <c r="E541" s="16">
        <v>42304</v>
      </c>
      <c r="F541" s="16"/>
      <c r="G541" s="13">
        <v>338</v>
      </c>
      <c r="H541" s="16"/>
      <c r="I541" s="13">
        <v>338</v>
      </c>
      <c r="J541" s="13">
        <f t="shared" si="17"/>
        <v>338</v>
      </c>
      <c r="K541" s="6"/>
    </row>
    <row r="542" spans="1:11" ht="24" x14ac:dyDescent="0.25">
      <c r="A542" s="3">
        <v>27</v>
      </c>
      <c r="B542" s="14" t="s">
        <v>30</v>
      </c>
      <c r="C542" s="15" t="str">
        <f>"777/2015"</f>
        <v>777/2015</v>
      </c>
      <c r="D542" s="15" t="str">
        <f t="shared" si="16"/>
        <v>CROATIA OSIGURANJE D.D.</v>
      </c>
      <c r="E542" s="16">
        <v>42340</v>
      </c>
      <c r="F542" s="16"/>
      <c r="G542" s="13">
        <v>278</v>
      </c>
      <c r="H542" s="16"/>
      <c r="I542" s="13">
        <v>278</v>
      </c>
      <c r="J542" s="13">
        <f t="shared" si="17"/>
        <v>278</v>
      </c>
      <c r="K542" s="6"/>
    </row>
    <row r="543" spans="1:11" ht="24" x14ac:dyDescent="0.25">
      <c r="A543" s="3">
        <v>28</v>
      </c>
      <c r="B543" s="14" t="s">
        <v>30</v>
      </c>
      <c r="C543" s="15" t="str">
        <f>"778/2015"</f>
        <v>778/2015</v>
      </c>
      <c r="D543" s="15" t="str">
        <f t="shared" si="16"/>
        <v>CROATIA OSIGURANJE D.D.</v>
      </c>
      <c r="E543" s="16">
        <v>42340</v>
      </c>
      <c r="F543" s="16"/>
      <c r="G543" s="13">
        <v>301</v>
      </c>
      <c r="H543" s="16"/>
      <c r="I543" s="13">
        <v>301</v>
      </c>
      <c r="J543" s="13">
        <f t="shared" si="17"/>
        <v>301</v>
      </c>
      <c r="K543" s="6"/>
    </row>
    <row r="544" spans="1:11" ht="24" x14ac:dyDescent="0.25">
      <c r="A544" s="3">
        <v>29</v>
      </c>
      <c r="B544" s="14" t="s">
        <v>30</v>
      </c>
      <c r="C544" s="15" t="str">
        <f>"779/2015"</f>
        <v>779/2015</v>
      </c>
      <c r="D544" s="15" t="str">
        <f t="shared" si="16"/>
        <v>CROATIA OSIGURANJE D.D.</v>
      </c>
      <c r="E544" s="16">
        <v>42340</v>
      </c>
      <c r="F544" s="16"/>
      <c r="G544" s="13">
        <v>278</v>
      </c>
      <c r="H544" s="16"/>
      <c r="I544" s="13">
        <v>278</v>
      </c>
      <c r="J544" s="13">
        <f t="shared" si="17"/>
        <v>278</v>
      </c>
      <c r="K544" s="6"/>
    </row>
    <row r="545" spans="1:11" ht="24" x14ac:dyDescent="0.25">
      <c r="A545" s="3">
        <v>30</v>
      </c>
      <c r="B545" s="14" t="s">
        <v>30</v>
      </c>
      <c r="C545" s="15" t="str">
        <f>"780/2015"</f>
        <v>780/2015</v>
      </c>
      <c r="D545" s="15" t="str">
        <f t="shared" si="16"/>
        <v>CROATIA OSIGURANJE D.D.</v>
      </c>
      <c r="E545" s="16">
        <v>42340</v>
      </c>
      <c r="F545" s="16"/>
      <c r="G545" s="13">
        <v>301</v>
      </c>
      <c r="H545" s="16"/>
      <c r="I545" s="13">
        <v>301</v>
      </c>
      <c r="J545" s="13">
        <f t="shared" si="17"/>
        <v>301</v>
      </c>
      <c r="K545" s="6"/>
    </row>
    <row r="546" spans="1:11" ht="24" x14ac:dyDescent="0.25">
      <c r="A546" s="3">
        <v>31</v>
      </c>
      <c r="B546" s="14" t="s">
        <v>30</v>
      </c>
      <c r="C546" s="15" t="str">
        <f>"817/2015"</f>
        <v>817/2015</v>
      </c>
      <c r="D546" s="15" t="str">
        <f t="shared" si="16"/>
        <v>CROATIA OSIGURANJE D.D.</v>
      </c>
      <c r="E546" s="16">
        <v>42345</v>
      </c>
      <c r="F546" s="16"/>
      <c r="G546" s="13">
        <v>278</v>
      </c>
      <c r="H546" s="16"/>
      <c r="I546" s="13">
        <v>278</v>
      </c>
      <c r="J546" s="13">
        <f t="shared" si="17"/>
        <v>278</v>
      </c>
      <c r="K546" s="6"/>
    </row>
    <row r="547" spans="1:11" ht="24" x14ac:dyDescent="0.25">
      <c r="A547" s="3">
        <v>32</v>
      </c>
      <c r="B547" s="14" t="s">
        <v>30</v>
      </c>
      <c r="C547" s="15" t="str">
        <f>"831/2015"</f>
        <v>831/2015</v>
      </c>
      <c r="D547" s="15" t="str">
        <f t="shared" si="16"/>
        <v>CROATIA OSIGURANJE D.D.</v>
      </c>
      <c r="E547" s="16">
        <v>42346</v>
      </c>
      <c r="F547" s="16"/>
      <c r="G547" s="13">
        <v>301</v>
      </c>
      <c r="H547" s="16"/>
      <c r="I547" s="13">
        <v>301</v>
      </c>
      <c r="J547" s="13">
        <f t="shared" si="17"/>
        <v>301</v>
      </c>
      <c r="K547" s="6"/>
    </row>
    <row r="548" spans="1:11" ht="24" x14ac:dyDescent="0.25">
      <c r="A548" s="3">
        <v>33</v>
      </c>
      <c r="B548" s="14" t="s">
        <v>30</v>
      </c>
      <c r="C548" s="15" t="str">
        <f>"832/2015"</f>
        <v>832/2015</v>
      </c>
      <c r="D548" s="15" t="str">
        <f t="shared" ref="D548:D579" si="18">CONCATENATE("CROATIA OSIGURANJE D.D.")</f>
        <v>CROATIA OSIGURANJE D.D.</v>
      </c>
      <c r="E548" s="16">
        <v>42346</v>
      </c>
      <c r="F548" s="16"/>
      <c r="G548" s="13">
        <v>370</v>
      </c>
      <c r="H548" s="16"/>
      <c r="I548" s="13">
        <v>370</v>
      </c>
      <c r="J548" s="13">
        <f t="shared" si="17"/>
        <v>370</v>
      </c>
      <c r="K548" s="6"/>
    </row>
    <row r="549" spans="1:11" ht="24" x14ac:dyDescent="0.25">
      <c r="A549" s="3">
        <v>34</v>
      </c>
      <c r="B549" s="14" t="s">
        <v>30</v>
      </c>
      <c r="C549" s="15" t="str">
        <f>"833/2015"</f>
        <v>833/2015</v>
      </c>
      <c r="D549" s="15" t="str">
        <f t="shared" si="18"/>
        <v>CROATIA OSIGURANJE D.D.</v>
      </c>
      <c r="E549" s="16">
        <v>42346</v>
      </c>
      <c r="F549" s="16"/>
      <c r="G549" s="13">
        <v>612</v>
      </c>
      <c r="H549" s="16"/>
      <c r="I549" s="13">
        <v>612</v>
      </c>
      <c r="J549" s="13">
        <f t="shared" si="17"/>
        <v>612</v>
      </c>
      <c r="K549" s="6"/>
    </row>
    <row r="550" spans="1:11" ht="24" x14ac:dyDescent="0.25">
      <c r="A550" s="3">
        <v>35</v>
      </c>
      <c r="B550" s="14" t="s">
        <v>30</v>
      </c>
      <c r="C550" s="15" t="str">
        <f>"000849/2015"</f>
        <v>000849/2015</v>
      </c>
      <c r="D550" s="15" t="str">
        <f t="shared" si="18"/>
        <v>CROATIA OSIGURANJE D.D.</v>
      </c>
      <c r="E550" s="16">
        <v>42354</v>
      </c>
      <c r="F550" s="16"/>
      <c r="G550" s="13">
        <v>301</v>
      </c>
      <c r="H550" s="16"/>
      <c r="I550" s="13">
        <v>301</v>
      </c>
      <c r="J550" s="13">
        <f t="shared" si="17"/>
        <v>301</v>
      </c>
      <c r="K550" s="6"/>
    </row>
    <row r="551" spans="1:11" ht="24" x14ac:dyDescent="0.25">
      <c r="A551" s="3">
        <v>36</v>
      </c>
      <c r="B551" s="14" t="s">
        <v>30</v>
      </c>
      <c r="C551" s="15" t="str">
        <f>"894/2015"</f>
        <v>894/2015</v>
      </c>
      <c r="D551" s="15" t="str">
        <f t="shared" si="18"/>
        <v>CROATIA OSIGURANJE D.D.</v>
      </c>
      <c r="E551" s="16">
        <v>42361</v>
      </c>
      <c r="F551" s="16"/>
      <c r="G551" s="13">
        <v>463</v>
      </c>
      <c r="H551" s="16"/>
      <c r="I551" s="13">
        <v>463</v>
      </c>
      <c r="J551" s="13">
        <f t="shared" si="17"/>
        <v>463</v>
      </c>
      <c r="K551" s="6"/>
    </row>
    <row r="552" spans="1:11" ht="24" x14ac:dyDescent="0.25">
      <c r="A552" s="3">
        <v>37</v>
      </c>
      <c r="B552" s="14" t="s">
        <v>31</v>
      </c>
      <c r="C552" s="15" t="str">
        <f>"U116/15"</f>
        <v>U116/15</v>
      </c>
      <c r="D552" s="15" t="str">
        <f t="shared" si="18"/>
        <v>CROATIA OSIGURANJE D.D.</v>
      </c>
      <c r="E552" s="16">
        <v>42277</v>
      </c>
      <c r="F552" s="16"/>
      <c r="G552" s="13">
        <v>184741.71</v>
      </c>
      <c r="H552" s="16"/>
      <c r="I552" s="13">
        <v>156116.96</v>
      </c>
      <c r="J552" s="13">
        <f t="shared" si="17"/>
        <v>156116.96</v>
      </c>
      <c r="K552" s="6"/>
    </row>
    <row r="553" spans="1:11" ht="24" x14ac:dyDescent="0.25">
      <c r="A553" s="3">
        <v>38</v>
      </c>
      <c r="B553" s="14" t="s">
        <v>31</v>
      </c>
      <c r="C553" s="15" t="str">
        <f>"NAR2015-DT"</f>
        <v>NAR2015-DT</v>
      </c>
      <c r="D553" s="15" t="str">
        <f t="shared" si="18"/>
        <v>CROATIA OSIGURANJE D.D.</v>
      </c>
      <c r="E553" s="16">
        <v>42369</v>
      </c>
      <c r="F553" s="16"/>
      <c r="G553" s="13">
        <v>7658.46</v>
      </c>
      <c r="H553" s="16"/>
      <c r="I553" s="13">
        <v>7619.13</v>
      </c>
      <c r="J553" s="13">
        <f t="shared" si="17"/>
        <v>7619.13</v>
      </c>
      <c r="K553" s="6"/>
    </row>
    <row r="554" spans="1:11" ht="24" x14ac:dyDescent="0.25">
      <c r="A554" s="3">
        <v>39</v>
      </c>
      <c r="B554" s="14" t="s">
        <v>33</v>
      </c>
      <c r="C554" s="15" t="str">
        <f>" 406-05/15-01/67"</f>
        <v xml:space="preserve"> 406-05/15-01/67</v>
      </c>
      <c r="D554" s="15" t="str">
        <f t="shared" si="18"/>
        <v>CROATIA OSIGURANJE D.D.</v>
      </c>
      <c r="E554" s="16">
        <v>42247</v>
      </c>
      <c r="F554" s="16"/>
      <c r="G554" s="13">
        <v>360000</v>
      </c>
      <c r="H554" s="16"/>
      <c r="I554" s="13">
        <v>25559.06</v>
      </c>
      <c r="J554" s="13">
        <f t="shared" si="17"/>
        <v>25559.06</v>
      </c>
      <c r="K554" s="6"/>
    </row>
    <row r="555" spans="1:11" ht="24" x14ac:dyDescent="0.25">
      <c r="A555" s="3">
        <v>40</v>
      </c>
      <c r="B555" s="14" t="s">
        <v>29</v>
      </c>
      <c r="C555" s="15" t="str">
        <f>"POLICA 4/2015"</f>
        <v>POLICA 4/2015</v>
      </c>
      <c r="D555" s="15" t="str">
        <f t="shared" si="18"/>
        <v>CROATIA OSIGURANJE D.D.</v>
      </c>
      <c r="E555" s="16">
        <v>42247</v>
      </c>
      <c r="F555" s="16"/>
      <c r="G555" s="13">
        <v>0</v>
      </c>
      <c r="H555" s="16"/>
      <c r="I555" s="13">
        <v>1290.78</v>
      </c>
      <c r="J555" s="13">
        <f t="shared" si="17"/>
        <v>1290.78</v>
      </c>
      <c r="K555" s="6"/>
    </row>
    <row r="556" spans="1:11" ht="24" x14ac:dyDescent="0.25">
      <c r="A556" s="3">
        <v>41</v>
      </c>
      <c r="B556" s="14" t="s">
        <v>28</v>
      </c>
      <c r="C556" s="15" t="str">
        <f>"MGPU 4/2015"</f>
        <v>MGPU 4/2015</v>
      </c>
      <c r="D556" s="15" t="str">
        <f t="shared" si="18"/>
        <v>CROATIA OSIGURANJE D.D.</v>
      </c>
      <c r="E556" s="16">
        <v>42320</v>
      </c>
      <c r="F556" s="16"/>
      <c r="G556" s="13">
        <v>1610.83</v>
      </c>
      <c r="H556" s="16"/>
      <c r="I556" s="13">
        <v>1610.83</v>
      </c>
      <c r="J556" s="13">
        <f t="shared" si="17"/>
        <v>1610.83</v>
      </c>
      <c r="K556" s="6"/>
    </row>
    <row r="557" spans="1:11" ht="24" x14ac:dyDescent="0.25">
      <c r="A557" s="3">
        <v>42</v>
      </c>
      <c r="B557" s="14" t="s">
        <v>44</v>
      </c>
      <c r="C557" s="15" t="str">
        <f>"4/2015-MFINPU-1"</f>
        <v>4/2015-MFINPU-1</v>
      </c>
      <c r="D557" s="15" t="str">
        <f t="shared" si="18"/>
        <v>CROATIA OSIGURANJE D.D.</v>
      </c>
      <c r="E557" s="16">
        <v>42266</v>
      </c>
      <c r="F557" s="16"/>
      <c r="G557" s="13">
        <v>800.01</v>
      </c>
      <c r="H557" s="16"/>
      <c r="I557" s="13">
        <v>800.01</v>
      </c>
      <c r="J557" s="13">
        <f t="shared" si="17"/>
        <v>800.01</v>
      </c>
      <c r="K557" s="6"/>
    </row>
    <row r="558" spans="1:11" ht="24" x14ac:dyDescent="0.25">
      <c r="A558" s="3">
        <v>43</v>
      </c>
      <c r="B558" s="14" t="s">
        <v>44</v>
      </c>
      <c r="C558" s="15" t="str">
        <f>"4/2015-MFINPU-2"</f>
        <v>4/2015-MFINPU-2</v>
      </c>
      <c r="D558" s="15" t="str">
        <f t="shared" si="18"/>
        <v>CROATIA OSIGURANJE D.D.</v>
      </c>
      <c r="E558" s="16">
        <v>42278</v>
      </c>
      <c r="F558" s="16"/>
      <c r="G558" s="13">
        <v>163.69</v>
      </c>
      <c r="H558" s="16"/>
      <c r="I558" s="13">
        <v>163.69</v>
      </c>
      <c r="J558" s="13">
        <f t="shared" si="17"/>
        <v>163.69</v>
      </c>
      <c r="K558" s="6"/>
    </row>
    <row r="559" spans="1:11" ht="24" x14ac:dyDescent="0.25">
      <c r="A559" s="3">
        <v>44</v>
      </c>
      <c r="B559" s="14" t="s">
        <v>44</v>
      </c>
      <c r="C559" s="15" t="str">
        <f>"4/2015-MFINPU-3"</f>
        <v>4/2015-MFINPU-3</v>
      </c>
      <c r="D559" s="15" t="str">
        <f t="shared" si="18"/>
        <v>CROATIA OSIGURANJE D.D.</v>
      </c>
      <c r="E559" s="16">
        <v>42282</v>
      </c>
      <c r="F559" s="16"/>
      <c r="G559" s="13">
        <v>147.87</v>
      </c>
      <c r="H559" s="16"/>
      <c r="I559" s="13">
        <v>147.87</v>
      </c>
      <c r="J559" s="13">
        <f t="shared" si="17"/>
        <v>147.87</v>
      </c>
      <c r="K559" s="6"/>
    </row>
    <row r="560" spans="1:11" ht="24" x14ac:dyDescent="0.25">
      <c r="A560" s="3">
        <v>45</v>
      </c>
      <c r="B560" s="14" t="s">
        <v>44</v>
      </c>
      <c r="C560" s="15" t="str">
        <f>"4/2015-MFINPU-4"</f>
        <v>4/2015-MFINPU-4</v>
      </c>
      <c r="D560" s="15" t="str">
        <f t="shared" si="18"/>
        <v>CROATIA OSIGURANJE D.D.</v>
      </c>
      <c r="E560" s="16">
        <v>42292</v>
      </c>
      <c r="F560" s="16"/>
      <c r="G560" s="13">
        <v>163.69</v>
      </c>
      <c r="H560" s="16"/>
      <c r="I560" s="13">
        <v>163.69</v>
      </c>
      <c r="J560" s="13">
        <f t="shared" si="17"/>
        <v>163.69</v>
      </c>
      <c r="K560" s="6"/>
    </row>
    <row r="561" spans="1:11" ht="24" x14ac:dyDescent="0.25">
      <c r="A561" s="3">
        <v>46</v>
      </c>
      <c r="B561" s="14" t="s">
        <v>44</v>
      </c>
      <c r="C561" s="15" t="str">
        <f>"4/2015-MFINPU-5"</f>
        <v>4/2015-MFINPU-5</v>
      </c>
      <c r="D561" s="15" t="str">
        <f t="shared" si="18"/>
        <v>CROATIA OSIGURANJE D.D.</v>
      </c>
      <c r="E561" s="16">
        <v>42314</v>
      </c>
      <c r="F561" s="16"/>
      <c r="G561" s="13">
        <v>147.87</v>
      </c>
      <c r="H561" s="16"/>
      <c r="I561" s="13">
        <v>147.87</v>
      </c>
      <c r="J561" s="13">
        <f t="shared" si="17"/>
        <v>147.87</v>
      </c>
      <c r="K561" s="6"/>
    </row>
    <row r="562" spans="1:11" ht="24" x14ac:dyDescent="0.25">
      <c r="A562" s="3">
        <v>47</v>
      </c>
      <c r="B562" s="14" t="s">
        <v>44</v>
      </c>
      <c r="C562" s="15" t="str">
        <f>"4/2015-MFINPU-6"</f>
        <v>4/2015-MFINPU-6</v>
      </c>
      <c r="D562" s="15" t="str">
        <f t="shared" si="18"/>
        <v>CROATIA OSIGURANJE D.D.</v>
      </c>
      <c r="E562" s="16">
        <v>42316</v>
      </c>
      <c r="F562" s="16"/>
      <c r="G562" s="13">
        <v>245.39</v>
      </c>
      <c r="H562" s="16"/>
      <c r="I562" s="13">
        <v>245.39</v>
      </c>
      <c r="J562" s="13">
        <f t="shared" si="17"/>
        <v>245.39</v>
      </c>
      <c r="K562" s="6"/>
    </row>
    <row r="563" spans="1:11" ht="24" x14ac:dyDescent="0.25">
      <c r="A563" s="3">
        <v>48</v>
      </c>
      <c r="B563" s="14" t="s">
        <v>44</v>
      </c>
      <c r="C563" s="15" t="str">
        <f>"4/2015-MFINPU-7"</f>
        <v>4/2015-MFINPU-7</v>
      </c>
      <c r="D563" s="15" t="str">
        <f t="shared" si="18"/>
        <v>CROATIA OSIGURANJE D.D.</v>
      </c>
      <c r="E563" s="16">
        <v>42317</v>
      </c>
      <c r="F563" s="16"/>
      <c r="G563" s="13">
        <v>137.07</v>
      </c>
      <c r="H563" s="16"/>
      <c r="I563" s="13">
        <v>137.07</v>
      </c>
      <c r="J563" s="13">
        <f t="shared" si="17"/>
        <v>137.07</v>
      </c>
      <c r="K563" s="6"/>
    </row>
    <row r="564" spans="1:11" ht="24" x14ac:dyDescent="0.25">
      <c r="A564" s="3">
        <v>49</v>
      </c>
      <c r="B564" s="14" t="s">
        <v>44</v>
      </c>
      <c r="C564" s="15" t="str">
        <f>"4/2015-MFINPU-8"</f>
        <v>4/2015-MFINPU-8</v>
      </c>
      <c r="D564" s="15" t="str">
        <f t="shared" si="18"/>
        <v>CROATIA OSIGURANJE D.D.</v>
      </c>
      <c r="E564" s="16">
        <v>42319</v>
      </c>
      <c r="F564" s="16"/>
      <c r="G564" s="13">
        <v>327.38</v>
      </c>
      <c r="H564" s="16"/>
      <c r="I564" s="13">
        <v>327.38</v>
      </c>
      <c r="J564" s="13">
        <f t="shared" si="17"/>
        <v>327.38</v>
      </c>
      <c r="K564" s="6"/>
    </row>
    <row r="565" spans="1:11" ht="24" x14ac:dyDescent="0.25">
      <c r="A565" s="3">
        <v>50</v>
      </c>
      <c r="B565" s="14" t="s">
        <v>44</v>
      </c>
      <c r="C565" s="15" t="str">
        <f>"4/2015-MFINPU-9"</f>
        <v>4/2015-MFINPU-9</v>
      </c>
      <c r="D565" s="15" t="str">
        <f t="shared" si="18"/>
        <v>CROATIA OSIGURANJE D.D.</v>
      </c>
      <c r="E565" s="16">
        <v>42323</v>
      </c>
      <c r="F565" s="16"/>
      <c r="G565" s="13">
        <v>201.6</v>
      </c>
      <c r="H565" s="16"/>
      <c r="I565" s="13">
        <v>201.6</v>
      </c>
      <c r="J565" s="13">
        <f t="shared" si="17"/>
        <v>201.6</v>
      </c>
      <c r="K565" s="6"/>
    </row>
    <row r="566" spans="1:11" ht="24" x14ac:dyDescent="0.25">
      <c r="A566" s="3">
        <v>51</v>
      </c>
      <c r="B566" s="14" t="s">
        <v>44</v>
      </c>
      <c r="C566" s="15" t="str">
        <f>"4/2015-MFINPU-10"</f>
        <v>4/2015-MFINPU-10</v>
      </c>
      <c r="D566" s="15" t="str">
        <f t="shared" si="18"/>
        <v>CROATIA OSIGURANJE D.D.</v>
      </c>
      <c r="E566" s="16">
        <v>42326</v>
      </c>
      <c r="F566" s="16"/>
      <c r="G566" s="13">
        <v>163.69</v>
      </c>
      <c r="H566" s="16"/>
      <c r="I566" s="13">
        <v>163.69</v>
      </c>
      <c r="J566" s="13">
        <f t="shared" si="17"/>
        <v>163.69</v>
      </c>
      <c r="K566" s="6"/>
    </row>
    <row r="567" spans="1:11" ht="24" x14ac:dyDescent="0.25">
      <c r="A567" s="3">
        <v>52</v>
      </c>
      <c r="B567" s="14" t="s">
        <v>44</v>
      </c>
      <c r="C567" s="15" t="str">
        <f>"4/2015-MFINPU-11"</f>
        <v>4/2015-MFINPU-11</v>
      </c>
      <c r="D567" s="15" t="str">
        <f t="shared" si="18"/>
        <v>CROATIA OSIGURANJE D.D.</v>
      </c>
      <c r="E567" s="16">
        <v>42350</v>
      </c>
      <c r="F567" s="16"/>
      <c r="G567" s="13">
        <v>147.87</v>
      </c>
      <c r="H567" s="16"/>
      <c r="I567" s="13">
        <v>147.87</v>
      </c>
      <c r="J567" s="13">
        <f t="shared" si="17"/>
        <v>147.87</v>
      </c>
      <c r="K567" s="6"/>
    </row>
    <row r="568" spans="1:11" ht="24" x14ac:dyDescent="0.25">
      <c r="A568" s="3">
        <v>53</v>
      </c>
      <c r="B568" s="14" t="s">
        <v>44</v>
      </c>
      <c r="C568" s="15" t="str">
        <f>"4/2015-MFINPU-12"</f>
        <v>4/2015-MFINPU-12</v>
      </c>
      <c r="D568" s="15" t="str">
        <f t="shared" si="18"/>
        <v>CROATIA OSIGURANJE D.D.</v>
      </c>
      <c r="E568" s="16">
        <v>42355</v>
      </c>
      <c r="F568" s="16"/>
      <c r="G568" s="13">
        <v>201.6</v>
      </c>
      <c r="H568" s="16"/>
      <c r="I568" s="13">
        <v>201.6</v>
      </c>
      <c r="J568" s="13">
        <f t="shared" si="17"/>
        <v>201.6</v>
      </c>
      <c r="K568" s="6"/>
    </row>
    <row r="569" spans="1:11" ht="24" x14ac:dyDescent="0.25">
      <c r="A569" s="3">
        <v>54</v>
      </c>
      <c r="B569" s="14" t="s">
        <v>44</v>
      </c>
      <c r="C569" s="15" t="str">
        <f>"4/2015-MFINPU-13"</f>
        <v>4/2015-MFINPU-13</v>
      </c>
      <c r="D569" s="15" t="str">
        <f t="shared" si="18"/>
        <v>CROATIA OSIGURANJE D.D.</v>
      </c>
      <c r="E569" s="16">
        <v>42362</v>
      </c>
      <c r="F569" s="16"/>
      <c r="G569" s="13">
        <v>147.87</v>
      </c>
      <c r="H569" s="16"/>
      <c r="I569" s="13">
        <v>147.87</v>
      </c>
      <c r="J569" s="13">
        <f t="shared" si="17"/>
        <v>147.87</v>
      </c>
      <c r="K569" s="6"/>
    </row>
    <row r="570" spans="1:11" ht="24" x14ac:dyDescent="0.25">
      <c r="A570" s="3">
        <v>55</v>
      </c>
      <c r="B570" s="14" t="s">
        <v>25</v>
      </c>
      <c r="C570" s="15" t="str">
        <f>"016238263938"</f>
        <v>016238263938</v>
      </c>
      <c r="D570" s="15" t="str">
        <f t="shared" si="18"/>
        <v>CROATIA OSIGURANJE D.D.</v>
      </c>
      <c r="E570" s="16">
        <v>42295</v>
      </c>
      <c r="F570" s="16"/>
      <c r="G570" s="13">
        <v>243.31</v>
      </c>
      <c r="H570" s="16"/>
      <c r="I570" s="13">
        <v>243.31</v>
      </c>
      <c r="J570" s="13">
        <f t="shared" si="17"/>
        <v>243.31</v>
      </c>
      <c r="K570" s="6"/>
    </row>
    <row r="571" spans="1:11" ht="24" x14ac:dyDescent="0.25">
      <c r="A571" s="3">
        <v>56</v>
      </c>
      <c r="B571" s="14" t="s">
        <v>25</v>
      </c>
      <c r="C571" s="15" t="str">
        <f>"016238263202"</f>
        <v>016238263202</v>
      </c>
      <c r="D571" s="15" t="str">
        <f t="shared" si="18"/>
        <v>CROATIA OSIGURANJE D.D.</v>
      </c>
      <c r="E571" s="16">
        <v>42295</v>
      </c>
      <c r="F571" s="16"/>
      <c r="G571" s="13">
        <v>324.58</v>
      </c>
      <c r="H571" s="16"/>
      <c r="I571" s="13">
        <v>324.58</v>
      </c>
      <c r="J571" s="13">
        <f t="shared" si="17"/>
        <v>324.58</v>
      </c>
      <c r="K571" s="6"/>
    </row>
    <row r="572" spans="1:11" ht="24" x14ac:dyDescent="0.25">
      <c r="A572" s="3">
        <v>57</v>
      </c>
      <c r="B572" s="14" t="s">
        <v>25</v>
      </c>
      <c r="C572" s="15" t="str">
        <f>"016238263210"</f>
        <v>016238263210</v>
      </c>
      <c r="D572" s="15" t="str">
        <f t="shared" si="18"/>
        <v>CROATIA OSIGURANJE D.D.</v>
      </c>
      <c r="E572" s="16">
        <v>42295</v>
      </c>
      <c r="F572" s="16"/>
      <c r="G572" s="13">
        <v>322.58</v>
      </c>
      <c r="H572" s="16"/>
      <c r="I572" s="13">
        <v>322.58</v>
      </c>
      <c r="J572" s="13">
        <f t="shared" si="17"/>
        <v>322.58</v>
      </c>
      <c r="K572" s="6"/>
    </row>
    <row r="573" spans="1:11" ht="24" x14ac:dyDescent="0.25">
      <c r="A573" s="3">
        <v>58</v>
      </c>
      <c r="B573" s="14" t="s">
        <v>25</v>
      </c>
      <c r="C573" s="15" t="str">
        <f>"016238263954"</f>
        <v>016238263954</v>
      </c>
      <c r="D573" s="15" t="str">
        <f t="shared" si="18"/>
        <v>CROATIA OSIGURANJE D.D.</v>
      </c>
      <c r="E573" s="16">
        <v>42297</v>
      </c>
      <c r="F573" s="16"/>
      <c r="G573" s="13">
        <v>173.79</v>
      </c>
      <c r="H573" s="16"/>
      <c r="I573" s="13">
        <v>173.79</v>
      </c>
      <c r="J573" s="13">
        <f t="shared" si="17"/>
        <v>173.79</v>
      </c>
      <c r="K573" s="6"/>
    </row>
    <row r="574" spans="1:11" ht="24" x14ac:dyDescent="0.25">
      <c r="A574" s="3">
        <v>59</v>
      </c>
      <c r="B574" s="14" t="s">
        <v>25</v>
      </c>
      <c r="C574" s="15" t="str">
        <f>"016238263946"</f>
        <v>016238263946</v>
      </c>
      <c r="D574" s="15" t="str">
        <f t="shared" si="18"/>
        <v>CROATIA OSIGURANJE D.D.</v>
      </c>
      <c r="E574" s="16">
        <v>42297</v>
      </c>
      <c r="F574" s="16"/>
      <c r="G574" s="13">
        <v>210.98</v>
      </c>
      <c r="H574" s="16"/>
      <c r="I574" s="13">
        <v>210.98</v>
      </c>
      <c r="J574" s="13">
        <f t="shared" si="17"/>
        <v>210.98</v>
      </c>
      <c r="K574" s="6"/>
    </row>
    <row r="575" spans="1:11" ht="36" x14ac:dyDescent="0.25">
      <c r="A575" s="3">
        <v>60</v>
      </c>
      <c r="B575" s="14" t="s">
        <v>34</v>
      </c>
      <c r="C575" s="15" t="str">
        <f>"NAR/2015-UZOP-AO"</f>
        <v>NAR/2015-UZOP-AO</v>
      </c>
      <c r="D575" s="15" t="str">
        <f t="shared" si="18"/>
        <v>CROATIA OSIGURANJE D.D.</v>
      </c>
      <c r="E575" s="16">
        <v>42267</v>
      </c>
      <c r="F575" s="16">
        <v>42369</v>
      </c>
      <c r="G575" s="13">
        <v>4217.54</v>
      </c>
      <c r="H575" s="16">
        <v>42369</v>
      </c>
      <c r="I575" s="13">
        <v>4217.54</v>
      </c>
      <c r="J575" s="13">
        <f t="shared" si="17"/>
        <v>4217.54</v>
      </c>
      <c r="K575" s="6"/>
    </row>
    <row r="576" spans="1:11" ht="24" x14ac:dyDescent="0.25">
      <c r="A576" s="3">
        <v>61</v>
      </c>
      <c r="B576" s="14" t="s">
        <v>41</v>
      </c>
      <c r="C576" s="15" t="str">
        <f>"POL. 016238313315"</f>
        <v>POL. 016238313315</v>
      </c>
      <c r="D576" s="15" t="str">
        <f t="shared" si="18"/>
        <v>CROATIA OSIGURANJE D.D.</v>
      </c>
      <c r="E576" s="16">
        <v>42337</v>
      </c>
      <c r="F576" s="16">
        <v>42703</v>
      </c>
      <c r="G576" s="13">
        <v>308.55</v>
      </c>
      <c r="H576" s="16">
        <v>42703</v>
      </c>
      <c r="I576" s="13">
        <v>308.55</v>
      </c>
      <c r="J576" s="13">
        <f t="shared" si="17"/>
        <v>308.55</v>
      </c>
      <c r="K576" s="6"/>
    </row>
    <row r="577" spans="1:11" ht="24" x14ac:dyDescent="0.25">
      <c r="A577" s="3">
        <v>62</v>
      </c>
      <c r="B577" s="14" t="s">
        <v>41</v>
      </c>
      <c r="C577" s="15" t="str">
        <f>"POL. 016238313307"</f>
        <v>POL. 016238313307</v>
      </c>
      <c r="D577" s="15" t="str">
        <f t="shared" si="18"/>
        <v>CROATIA OSIGURANJE D.D.</v>
      </c>
      <c r="E577" s="16">
        <v>42331</v>
      </c>
      <c r="F577" s="16">
        <v>42392</v>
      </c>
      <c r="G577" s="13">
        <v>448.8</v>
      </c>
      <c r="H577" s="16">
        <v>42392</v>
      </c>
      <c r="I577" s="13">
        <v>448.5</v>
      </c>
      <c r="J577" s="13">
        <f t="shared" si="17"/>
        <v>448.5</v>
      </c>
      <c r="K577" s="6"/>
    </row>
    <row r="578" spans="1:11" ht="24" x14ac:dyDescent="0.25">
      <c r="A578" s="3">
        <v>63</v>
      </c>
      <c r="B578" s="14" t="s">
        <v>41</v>
      </c>
      <c r="C578" s="15" t="str">
        <f>"POL. 016238313323"</f>
        <v>POL. 016238313323</v>
      </c>
      <c r="D578" s="15" t="str">
        <f t="shared" si="18"/>
        <v>CROATIA OSIGURANJE D.D.</v>
      </c>
      <c r="E578" s="16">
        <v>42321</v>
      </c>
      <c r="F578" s="16">
        <v>42687</v>
      </c>
      <c r="G578" s="13">
        <v>392.7</v>
      </c>
      <c r="H578" s="16">
        <v>42687</v>
      </c>
      <c r="I578" s="13">
        <v>392.7</v>
      </c>
      <c r="J578" s="13">
        <f t="shared" si="17"/>
        <v>392.7</v>
      </c>
      <c r="K578" s="6"/>
    </row>
    <row r="579" spans="1:11" ht="24" x14ac:dyDescent="0.25">
      <c r="A579" s="3">
        <v>64</v>
      </c>
      <c r="B579" s="14" t="s">
        <v>41</v>
      </c>
      <c r="C579" s="15" t="str">
        <f>"POL.016238363363"</f>
        <v>POL.016238363363</v>
      </c>
      <c r="D579" s="15" t="str">
        <f t="shared" si="18"/>
        <v>CROATIA OSIGURANJE D.D.</v>
      </c>
      <c r="E579" s="16">
        <v>42344</v>
      </c>
      <c r="F579" s="16">
        <v>42710</v>
      </c>
      <c r="G579" s="13">
        <v>591.78</v>
      </c>
      <c r="H579" s="16">
        <v>42710</v>
      </c>
      <c r="I579" s="13">
        <v>591.78</v>
      </c>
      <c r="J579" s="13">
        <f t="shared" si="17"/>
        <v>591.78</v>
      </c>
      <c r="K579" s="6"/>
    </row>
    <row r="580" spans="1:11" ht="24" x14ac:dyDescent="0.25">
      <c r="A580" s="3">
        <v>65</v>
      </c>
      <c r="B580" s="14" t="s">
        <v>41</v>
      </c>
      <c r="C580" s="15" t="str">
        <f>"POL.016238363371"</f>
        <v>POL.016238363371</v>
      </c>
      <c r="D580" s="15" t="str">
        <f t="shared" ref="D580:D611" si="19">CONCATENATE("CROATIA OSIGURANJE D.D.")</f>
        <v>CROATIA OSIGURANJE D.D.</v>
      </c>
      <c r="E580" s="16">
        <v>42344</v>
      </c>
      <c r="F580" s="16">
        <v>42710</v>
      </c>
      <c r="G580" s="13">
        <v>280.5</v>
      </c>
      <c r="H580" s="16">
        <v>42710</v>
      </c>
      <c r="I580" s="13">
        <v>280.5</v>
      </c>
      <c r="J580" s="13">
        <f t="shared" si="17"/>
        <v>280.5</v>
      </c>
      <c r="K580" s="6"/>
    </row>
    <row r="581" spans="1:11" ht="24" x14ac:dyDescent="0.25">
      <c r="A581" s="3">
        <v>66</v>
      </c>
      <c r="B581" s="14" t="s">
        <v>41</v>
      </c>
      <c r="C581" s="15" t="str">
        <f>"POL.016238363509"</f>
        <v>POL.016238363509</v>
      </c>
      <c r="D581" s="15" t="str">
        <f t="shared" si="19"/>
        <v>CROATIA OSIGURANJE D.D.</v>
      </c>
      <c r="E581" s="16">
        <v>42356</v>
      </c>
      <c r="F581" s="16">
        <v>42722</v>
      </c>
      <c r="G581" s="13">
        <v>372.62</v>
      </c>
      <c r="H581" s="16">
        <v>42722</v>
      </c>
      <c r="I581" s="13">
        <v>382.62</v>
      </c>
      <c r="J581" s="13">
        <f t="shared" ref="J581:J644" si="20">I581</f>
        <v>382.62</v>
      </c>
      <c r="K581" s="6"/>
    </row>
    <row r="582" spans="1:11" ht="24" x14ac:dyDescent="0.25">
      <c r="A582" s="3">
        <v>67</v>
      </c>
      <c r="B582" s="14" t="s">
        <v>27</v>
      </c>
      <c r="C582" s="15" t="str">
        <f>"4/2015-MUP-89"</f>
        <v>4/2015-MUP-89</v>
      </c>
      <c r="D582" s="15" t="str">
        <f t="shared" si="19"/>
        <v>CROATIA OSIGURANJE D.D.</v>
      </c>
      <c r="E582" s="16">
        <v>42367</v>
      </c>
      <c r="F582" s="16">
        <v>42733</v>
      </c>
      <c r="G582" s="13">
        <v>4010.35</v>
      </c>
      <c r="H582" s="16">
        <v>42733</v>
      </c>
      <c r="I582" s="13">
        <v>1070.8399999999999</v>
      </c>
      <c r="J582" s="13">
        <f t="shared" si="20"/>
        <v>1070.8399999999999</v>
      </c>
      <c r="K582" s="6"/>
    </row>
    <row r="583" spans="1:11" ht="24" x14ac:dyDescent="0.25">
      <c r="A583" s="3">
        <v>68</v>
      </c>
      <c r="B583" s="14" t="s">
        <v>27</v>
      </c>
      <c r="C583" s="15" t="str">
        <f>"4/2015-MUP-93"</f>
        <v>4/2015-MUP-93</v>
      </c>
      <c r="D583" s="15" t="str">
        <f t="shared" si="19"/>
        <v>CROATIA OSIGURANJE D.D.</v>
      </c>
      <c r="E583" s="16">
        <v>42366</v>
      </c>
      <c r="F583" s="16">
        <v>42732</v>
      </c>
      <c r="G583" s="13">
        <v>967.74</v>
      </c>
      <c r="H583" s="16">
        <v>42732</v>
      </c>
      <c r="I583" s="13">
        <v>967.74</v>
      </c>
      <c r="J583" s="13">
        <f t="shared" si="20"/>
        <v>967.74</v>
      </c>
      <c r="K583" s="6"/>
    </row>
    <row r="584" spans="1:11" ht="24" x14ac:dyDescent="0.25">
      <c r="A584" s="3">
        <v>69</v>
      </c>
      <c r="B584" s="14" t="s">
        <v>27</v>
      </c>
      <c r="C584" s="15" t="str">
        <f>"4/2015-MUP-88"</f>
        <v>4/2015-MUP-88</v>
      </c>
      <c r="D584" s="15" t="str">
        <f t="shared" si="19"/>
        <v>CROATIA OSIGURANJE D.D.</v>
      </c>
      <c r="E584" s="16">
        <v>42365</v>
      </c>
      <c r="F584" s="16">
        <v>42731</v>
      </c>
      <c r="G584" s="13">
        <v>2734.44</v>
      </c>
      <c r="H584" s="16">
        <v>42731</v>
      </c>
      <c r="I584" s="13">
        <v>2734.44</v>
      </c>
      <c r="J584" s="13">
        <f t="shared" si="20"/>
        <v>2734.44</v>
      </c>
      <c r="K584" s="6"/>
    </row>
    <row r="585" spans="1:11" ht="24" x14ac:dyDescent="0.25">
      <c r="A585" s="3">
        <v>70</v>
      </c>
      <c r="B585" s="14" t="s">
        <v>27</v>
      </c>
      <c r="C585" s="15" t="str">
        <f>"4/2015-MUP-95"</f>
        <v>4/2015-MUP-95</v>
      </c>
      <c r="D585" s="15" t="str">
        <f t="shared" si="19"/>
        <v>CROATIA OSIGURANJE D.D.</v>
      </c>
      <c r="E585" s="16">
        <v>42364</v>
      </c>
      <c r="F585" s="16">
        <v>42730</v>
      </c>
      <c r="G585" s="13">
        <v>197.03</v>
      </c>
      <c r="H585" s="16">
        <v>42730</v>
      </c>
      <c r="I585" s="13">
        <v>197.03</v>
      </c>
      <c r="J585" s="13">
        <f t="shared" si="20"/>
        <v>197.03</v>
      </c>
      <c r="K585" s="6"/>
    </row>
    <row r="586" spans="1:11" ht="24" x14ac:dyDescent="0.25">
      <c r="A586" s="3">
        <v>71</v>
      </c>
      <c r="B586" s="14" t="s">
        <v>27</v>
      </c>
      <c r="C586" s="15" t="str">
        <f>"4/2015-MUP-94"</f>
        <v>4/2015-MUP-94</v>
      </c>
      <c r="D586" s="15" t="str">
        <f t="shared" si="19"/>
        <v>CROATIA OSIGURANJE D.D.</v>
      </c>
      <c r="E586" s="16">
        <v>42363</v>
      </c>
      <c r="F586" s="16">
        <v>42729</v>
      </c>
      <c r="G586" s="13">
        <v>197.03</v>
      </c>
      <c r="H586" s="16">
        <v>42729</v>
      </c>
      <c r="I586" s="13">
        <v>197.03</v>
      </c>
      <c r="J586" s="13">
        <f t="shared" si="20"/>
        <v>197.03</v>
      </c>
      <c r="K586" s="6"/>
    </row>
    <row r="587" spans="1:11" ht="24" x14ac:dyDescent="0.25">
      <c r="A587" s="3">
        <v>72</v>
      </c>
      <c r="B587" s="14" t="s">
        <v>27</v>
      </c>
      <c r="C587" s="15" t="str">
        <f>"4/2015-MUP-87"</f>
        <v>4/2015-MUP-87</v>
      </c>
      <c r="D587" s="15" t="str">
        <f t="shared" si="19"/>
        <v>CROATIA OSIGURANJE D.D.</v>
      </c>
      <c r="E587" s="16">
        <v>42362</v>
      </c>
      <c r="F587" s="16">
        <v>42728</v>
      </c>
      <c r="G587" s="13">
        <v>786.28</v>
      </c>
      <c r="H587" s="16">
        <v>42728</v>
      </c>
      <c r="I587" s="13">
        <v>786.28</v>
      </c>
      <c r="J587" s="13">
        <f t="shared" si="20"/>
        <v>786.28</v>
      </c>
      <c r="K587" s="6"/>
    </row>
    <row r="588" spans="1:11" ht="24" x14ac:dyDescent="0.25">
      <c r="A588" s="3">
        <v>73</v>
      </c>
      <c r="B588" s="14" t="s">
        <v>27</v>
      </c>
      <c r="C588" s="15" t="str">
        <f>"4/2015-MUP-86"</f>
        <v>4/2015-MUP-86</v>
      </c>
      <c r="D588" s="15" t="str">
        <f t="shared" si="19"/>
        <v>CROATIA OSIGURANJE D.D.</v>
      </c>
      <c r="E588" s="16">
        <v>42361</v>
      </c>
      <c r="F588" s="16">
        <v>42727</v>
      </c>
      <c r="G588" s="13">
        <v>192.84</v>
      </c>
      <c r="H588" s="16">
        <v>42727</v>
      </c>
      <c r="I588" s="13">
        <v>192.84</v>
      </c>
      <c r="J588" s="13">
        <f t="shared" si="20"/>
        <v>192.84</v>
      </c>
      <c r="K588" s="6"/>
    </row>
    <row r="589" spans="1:11" ht="24" x14ac:dyDescent="0.25">
      <c r="A589" s="3">
        <v>74</v>
      </c>
      <c r="B589" s="14" t="s">
        <v>27</v>
      </c>
      <c r="C589" s="15" t="str">
        <f>"4/2015-MUP-85"</f>
        <v>4/2015-MUP-85</v>
      </c>
      <c r="D589" s="15" t="str">
        <f t="shared" si="19"/>
        <v>CROATIA OSIGURANJE D.D.</v>
      </c>
      <c r="E589" s="16">
        <v>42360</v>
      </c>
      <c r="F589" s="16">
        <v>42726</v>
      </c>
      <c r="G589" s="13">
        <v>4668</v>
      </c>
      <c r="H589" s="16">
        <v>42726</v>
      </c>
      <c r="I589" s="13">
        <v>4668</v>
      </c>
      <c r="J589" s="13">
        <f t="shared" si="20"/>
        <v>4668</v>
      </c>
      <c r="K589" s="6"/>
    </row>
    <row r="590" spans="1:11" ht="24" x14ac:dyDescent="0.25">
      <c r="A590" s="3">
        <v>75</v>
      </c>
      <c r="B590" s="14" t="s">
        <v>27</v>
      </c>
      <c r="C590" s="15" t="str">
        <f>"4/2015-MUP-84"</f>
        <v>4/2015-MUP-84</v>
      </c>
      <c r="D590" s="15" t="str">
        <f t="shared" si="19"/>
        <v>CROATIA OSIGURANJE D.D.</v>
      </c>
      <c r="E590" s="16">
        <v>42359</v>
      </c>
      <c r="F590" s="16">
        <v>42725</v>
      </c>
      <c r="G590" s="13">
        <v>1878.75</v>
      </c>
      <c r="H590" s="16">
        <v>42725</v>
      </c>
      <c r="I590" s="13">
        <v>1878.75</v>
      </c>
      <c r="J590" s="13">
        <f t="shared" si="20"/>
        <v>1878.75</v>
      </c>
      <c r="K590" s="6"/>
    </row>
    <row r="591" spans="1:11" ht="24" x14ac:dyDescent="0.25">
      <c r="A591" s="3">
        <v>76</v>
      </c>
      <c r="B591" s="14" t="s">
        <v>27</v>
      </c>
      <c r="C591" s="15" t="str">
        <f>"4/2015-MUP-83"</f>
        <v>4/2015-MUP-83</v>
      </c>
      <c r="D591" s="15" t="str">
        <f t="shared" si="19"/>
        <v>CROATIA OSIGURANJE D.D.</v>
      </c>
      <c r="E591" s="16">
        <v>42358</v>
      </c>
      <c r="F591" s="16">
        <v>42724</v>
      </c>
      <c r="G591" s="13">
        <v>486.01</v>
      </c>
      <c r="H591" s="16">
        <v>42724</v>
      </c>
      <c r="I591" s="13">
        <v>486.01</v>
      </c>
      <c r="J591" s="13">
        <f t="shared" si="20"/>
        <v>486.01</v>
      </c>
      <c r="K591" s="6"/>
    </row>
    <row r="592" spans="1:11" ht="24" x14ac:dyDescent="0.25">
      <c r="A592" s="3">
        <v>77</v>
      </c>
      <c r="B592" s="14" t="s">
        <v>27</v>
      </c>
      <c r="C592" s="15" t="str">
        <f>"4/2015-MUP-82"</f>
        <v>4/2015-MUP-82</v>
      </c>
      <c r="D592" s="15" t="str">
        <f t="shared" si="19"/>
        <v>CROATIA OSIGURANJE D.D.</v>
      </c>
      <c r="E592" s="16">
        <v>42357</v>
      </c>
      <c r="F592" s="16">
        <v>42723</v>
      </c>
      <c r="G592" s="13">
        <v>141.81</v>
      </c>
      <c r="H592" s="16">
        <v>42723</v>
      </c>
      <c r="I592" s="13">
        <v>141.81</v>
      </c>
      <c r="J592" s="13">
        <f t="shared" si="20"/>
        <v>141.81</v>
      </c>
      <c r="K592" s="6"/>
    </row>
    <row r="593" spans="1:11" ht="24" x14ac:dyDescent="0.25">
      <c r="A593" s="3">
        <v>78</v>
      </c>
      <c r="B593" s="14" t="s">
        <v>27</v>
      </c>
      <c r="C593" s="15" t="str">
        <f>"4/2015-MUP-81"</f>
        <v>4/2015-MUP-81</v>
      </c>
      <c r="D593" s="15" t="str">
        <f t="shared" si="19"/>
        <v>CROATIA OSIGURANJE D.D.</v>
      </c>
      <c r="E593" s="16">
        <v>42356</v>
      </c>
      <c r="F593" s="16">
        <v>42722</v>
      </c>
      <c r="G593" s="13">
        <v>1815.61</v>
      </c>
      <c r="H593" s="16">
        <v>42722</v>
      </c>
      <c r="I593" s="13">
        <v>1815.61</v>
      </c>
      <c r="J593" s="13">
        <f t="shared" si="20"/>
        <v>1815.61</v>
      </c>
      <c r="K593" s="6"/>
    </row>
    <row r="594" spans="1:11" ht="24" x14ac:dyDescent="0.25">
      <c r="A594" s="3">
        <v>79</v>
      </c>
      <c r="B594" s="14" t="s">
        <v>27</v>
      </c>
      <c r="C594" s="15" t="str">
        <f>"4/2015-MUP-80"</f>
        <v>4/2015-MUP-80</v>
      </c>
      <c r="D594" s="15" t="str">
        <f t="shared" si="19"/>
        <v>CROATIA OSIGURANJE D.D.</v>
      </c>
      <c r="E594" s="16">
        <v>42355</v>
      </c>
      <c r="F594" s="16">
        <v>42721</v>
      </c>
      <c r="G594" s="13">
        <v>556.16</v>
      </c>
      <c r="H594" s="16">
        <v>42721</v>
      </c>
      <c r="I594" s="13">
        <v>556.16</v>
      </c>
      <c r="J594" s="13">
        <f t="shared" si="20"/>
        <v>556.16</v>
      </c>
      <c r="K594" s="6"/>
    </row>
    <row r="595" spans="1:11" ht="24" x14ac:dyDescent="0.25">
      <c r="A595" s="3">
        <v>80</v>
      </c>
      <c r="B595" s="14" t="s">
        <v>27</v>
      </c>
      <c r="C595" s="15" t="str">
        <f>"4/2015-MUP-92"</f>
        <v>4/2015-MUP-92</v>
      </c>
      <c r="D595" s="15" t="str">
        <f t="shared" si="19"/>
        <v>CROATIA OSIGURANJE D.D.</v>
      </c>
      <c r="E595" s="16">
        <v>42353</v>
      </c>
      <c r="F595" s="16">
        <v>42719</v>
      </c>
      <c r="G595" s="13">
        <v>929.72</v>
      </c>
      <c r="H595" s="16">
        <v>42719</v>
      </c>
      <c r="I595" s="13">
        <v>929.72</v>
      </c>
      <c r="J595" s="13">
        <f t="shared" si="20"/>
        <v>929.72</v>
      </c>
      <c r="K595" s="6"/>
    </row>
    <row r="596" spans="1:11" ht="24" x14ac:dyDescent="0.25">
      <c r="A596" s="3">
        <v>81</v>
      </c>
      <c r="B596" s="14" t="s">
        <v>27</v>
      </c>
      <c r="C596" s="15" t="str">
        <f>"4/2015-MUP-79"</f>
        <v>4/2015-MUP-79</v>
      </c>
      <c r="D596" s="15" t="str">
        <f t="shared" si="19"/>
        <v>CROATIA OSIGURANJE D.D.</v>
      </c>
      <c r="E596" s="16">
        <v>42352</v>
      </c>
      <c r="F596" s="16">
        <v>42718</v>
      </c>
      <c r="G596" s="13">
        <v>5417.28</v>
      </c>
      <c r="H596" s="16">
        <v>42718</v>
      </c>
      <c r="I596" s="13">
        <v>5417.28</v>
      </c>
      <c r="J596" s="13">
        <f t="shared" si="20"/>
        <v>5417.28</v>
      </c>
      <c r="K596" s="6"/>
    </row>
    <row r="597" spans="1:11" ht="24" x14ac:dyDescent="0.25">
      <c r="A597" s="3">
        <v>82</v>
      </c>
      <c r="B597" s="14" t="s">
        <v>27</v>
      </c>
      <c r="C597" s="15" t="str">
        <f>"4/2015-MUP-78"</f>
        <v>4/2015-MUP-78</v>
      </c>
      <c r="D597" s="15" t="str">
        <f t="shared" si="19"/>
        <v>CROATIA OSIGURANJE D.D.</v>
      </c>
      <c r="E597" s="16">
        <v>42351</v>
      </c>
      <c r="F597" s="16">
        <v>42717</v>
      </c>
      <c r="G597" s="13">
        <v>3630.99</v>
      </c>
      <c r="H597" s="16">
        <v>42717</v>
      </c>
      <c r="I597" s="13">
        <v>3630.99</v>
      </c>
      <c r="J597" s="13">
        <f t="shared" si="20"/>
        <v>3630.99</v>
      </c>
      <c r="K597" s="6"/>
    </row>
    <row r="598" spans="1:11" ht="24" x14ac:dyDescent="0.25">
      <c r="A598" s="3">
        <v>83</v>
      </c>
      <c r="B598" s="14" t="s">
        <v>27</v>
      </c>
      <c r="C598" s="15" t="str">
        <f>"4/2015-MUP-77"</f>
        <v>4/2015-MUP-77</v>
      </c>
      <c r="D598" s="15" t="str">
        <f t="shared" si="19"/>
        <v>CROATIA OSIGURANJE D.D.</v>
      </c>
      <c r="E598" s="16">
        <v>42350</v>
      </c>
      <c r="F598" s="16">
        <v>42716</v>
      </c>
      <c r="G598" s="13">
        <v>5946.33</v>
      </c>
      <c r="H598" s="16">
        <v>42716</v>
      </c>
      <c r="I598" s="13">
        <v>5946.33</v>
      </c>
      <c r="J598" s="13">
        <f t="shared" si="20"/>
        <v>5946.33</v>
      </c>
      <c r="K598" s="6"/>
    </row>
    <row r="599" spans="1:11" ht="24" x14ac:dyDescent="0.25">
      <c r="A599" s="3">
        <v>84</v>
      </c>
      <c r="B599" s="14" t="s">
        <v>27</v>
      </c>
      <c r="C599" s="15" t="str">
        <f>"4/2015-MUP-76"</f>
        <v>4/2015-MUP-76</v>
      </c>
      <c r="D599" s="15" t="str">
        <f t="shared" si="19"/>
        <v>CROATIA OSIGURANJE D.D.</v>
      </c>
      <c r="E599" s="16">
        <v>42349</v>
      </c>
      <c r="F599" s="16">
        <v>42715</v>
      </c>
      <c r="G599" s="13">
        <v>465.41</v>
      </c>
      <c r="H599" s="16">
        <v>42715</v>
      </c>
      <c r="I599" s="13">
        <v>465.41</v>
      </c>
      <c r="J599" s="13">
        <f t="shared" si="20"/>
        <v>465.41</v>
      </c>
      <c r="K599" s="6"/>
    </row>
    <row r="600" spans="1:11" ht="24" x14ac:dyDescent="0.25">
      <c r="A600" s="3">
        <v>85</v>
      </c>
      <c r="B600" s="14" t="s">
        <v>27</v>
      </c>
      <c r="C600" s="15" t="str">
        <f>"4/2015-MUP-75"</f>
        <v>4/2015-MUP-75</v>
      </c>
      <c r="D600" s="15" t="str">
        <f t="shared" si="19"/>
        <v>CROATIA OSIGURANJE D.D.</v>
      </c>
      <c r="E600" s="16">
        <v>42348</v>
      </c>
      <c r="F600" s="16">
        <v>42714</v>
      </c>
      <c r="G600" s="13">
        <v>7598.81</v>
      </c>
      <c r="H600" s="16">
        <v>42714</v>
      </c>
      <c r="I600" s="13">
        <v>7598.81</v>
      </c>
      <c r="J600" s="13">
        <f t="shared" si="20"/>
        <v>7598.81</v>
      </c>
      <c r="K600" s="6"/>
    </row>
    <row r="601" spans="1:11" ht="24" x14ac:dyDescent="0.25">
      <c r="A601" s="3">
        <v>86</v>
      </c>
      <c r="B601" s="14" t="s">
        <v>27</v>
      </c>
      <c r="C601" s="15" t="str">
        <f>"4/2015-MUP 74"</f>
        <v>4/2015-MUP 74</v>
      </c>
      <c r="D601" s="15" t="str">
        <f t="shared" si="19"/>
        <v>CROATIA OSIGURANJE D.D.</v>
      </c>
      <c r="E601" s="16">
        <v>42347</v>
      </c>
      <c r="F601" s="16">
        <v>42713</v>
      </c>
      <c r="G601" s="13">
        <v>1144.8</v>
      </c>
      <c r="H601" s="16">
        <v>42713</v>
      </c>
      <c r="I601" s="13">
        <v>1144.8</v>
      </c>
      <c r="J601" s="13">
        <f t="shared" si="20"/>
        <v>1144.8</v>
      </c>
      <c r="K601" s="6"/>
    </row>
    <row r="602" spans="1:11" ht="24" x14ac:dyDescent="0.25">
      <c r="A602" s="3">
        <v>87</v>
      </c>
      <c r="B602" s="14" t="s">
        <v>54</v>
      </c>
      <c r="C602" s="15" t="str">
        <f>"016238362340"</f>
        <v>016238362340</v>
      </c>
      <c r="D602" s="15" t="str">
        <f t="shared" si="19"/>
        <v>CROATIA OSIGURANJE D.D.</v>
      </c>
      <c r="E602" s="16">
        <v>42334</v>
      </c>
      <c r="F602" s="16">
        <v>42713</v>
      </c>
      <c r="G602" s="13">
        <v>282.2</v>
      </c>
      <c r="H602" s="16">
        <v>42713</v>
      </c>
      <c r="I602" s="13">
        <v>282.2</v>
      </c>
      <c r="J602" s="13">
        <f t="shared" si="20"/>
        <v>282.2</v>
      </c>
      <c r="K602" s="6"/>
    </row>
    <row r="603" spans="1:11" ht="24" x14ac:dyDescent="0.25">
      <c r="A603" s="3">
        <v>88</v>
      </c>
      <c r="B603" s="14" t="s">
        <v>54</v>
      </c>
      <c r="C603" s="15" t="str">
        <f>"004626086394"</f>
        <v>004626086394</v>
      </c>
      <c r="D603" s="15" t="str">
        <f t="shared" si="19"/>
        <v>CROATIA OSIGURANJE D.D.</v>
      </c>
      <c r="E603" s="16">
        <v>42334</v>
      </c>
      <c r="F603" s="16">
        <v>42713</v>
      </c>
      <c r="G603" s="13">
        <v>3189.15</v>
      </c>
      <c r="H603" s="16">
        <v>42713</v>
      </c>
      <c r="I603" s="13">
        <v>3189.15</v>
      </c>
      <c r="J603" s="13">
        <f t="shared" si="20"/>
        <v>3189.15</v>
      </c>
      <c r="K603" s="6"/>
    </row>
    <row r="604" spans="1:11" ht="24" x14ac:dyDescent="0.25">
      <c r="A604" s="3">
        <v>89</v>
      </c>
      <c r="B604" s="14" t="s">
        <v>27</v>
      </c>
      <c r="C604" s="15" t="str">
        <f>"4/2015-MUP-73"</f>
        <v>4/2015-MUP-73</v>
      </c>
      <c r="D604" s="15" t="str">
        <f t="shared" si="19"/>
        <v>CROATIA OSIGURANJE D.D.</v>
      </c>
      <c r="E604" s="16">
        <v>42346</v>
      </c>
      <c r="F604" s="16">
        <v>42712</v>
      </c>
      <c r="G604" s="13">
        <v>4207.8599999999997</v>
      </c>
      <c r="H604" s="16">
        <v>42712</v>
      </c>
      <c r="I604" s="13">
        <v>4207.8599999999997</v>
      </c>
      <c r="J604" s="13">
        <f t="shared" si="20"/>
        <v>4207.8599999999997</v>
      </c>
      <c r="K604" s="6"/>
    </row>
    <row r="605" spans="1:11" ht="24" x14ac:dyDescent="0.25">
      <c r="A605" s="3">
        <v>90</v>
      </c>
      <c r="B605" s="14" t="s">
        <v>27</v>
      </c>
      <c r="C605" s="15" t="str">
        <f>"4/2015-MUP-72"</f>
        <v>4/2015-MUP-72</v>
      </c>
      <c r="D605" s="15" t="str">
        <f t="shared" si="19"/>
        <v>CROATIA OSIGURANJE D.D.</v>
      </c>
      <c r="E605" s="16">
        <v>42345</v>
      </c>
      <c r="F605" s="16">
        <v>42711</v>
      </c>
      <c r="G605" s="13">
        <v>572.29</v>
      </c>
      <c r="H605" s="16">
        <v>42711</v>
      </c>
      <c r="I605" s="13">
        <v>572.29</v>
      </c>
      <c r="J605" s="13">
        <f t="shared" si="20"/>
        <v>572.29</v>
      </c>
      <c r="K605" s="6"/>
    </row>
    <row r="606" spans="1:11" ht="24" x14ac:dyDescent="0.25">
      <c r="A606" s="3">
        <v>91</v>
      </c>
      <c r="B606" s="14" t="s">
        <v>27</v>
      </c>
      <c r="C606" s="15" t="str">
        <f>"4/2015-MUP-71"</f>
        <v>4/2015-MUP-71</v>
      </c>
      <c r="D606" s="15" t="str">
        <f t="shared" si="19"/>
        <v>CROATIA OSIGURANJE D.D.</v>
      </c>
      <c r="E606" s="16">
        <v>42344</v>
      </c>
      <c r="F606" s="16">
        <v>42710</v>
      </c>
      <c r="G606" s="13">
        <v>4668.13</v>
      </c>
      <c r="H606" s="16">
        <v>42710</v>
      </c>
      <c r="I606" s="13">
        <v>4668.13</v>
      </c>
      <c r="J606" s="13">
        <f t="shared" si="20"/>
        <v>4668.13</v>
      </c>
      <c r="K606" s="6"/>
    </row>
    <row r="607" spans="1:11" ht="24" x14ac:dyDescent="0.25">
      <c r="A607" s="3">
        <v>92</v>
      </c>
      <c r="B607" s="14" t="s">
        <v>27</v>
      </c>
      <c r="C607" s="15" t="str">
        <f>"4/2015-MUP-70"</f>
        <v>4/2015-MUP-70</v>
      </c>
      <c r="D607" s="15" t="str">
        <f t="shared" si="19"/>
        <v>CROATIA OSIGURANJE D.D.</v>
      </c>
      <c r="E607" s="16">
        <v>42343</v>
      </c>
      <c r="F607" s="16">
        <v>42709</v>
      </c>
      <c r="G607" s="13">
        <v>833.02</v>
      </c>
      <c r="H607" s="16">
        <v>42709</v>
      </c>
      <c r="I607" s="13">
        <v>833.02</v>
      </c>
      <c r="J607" s="13">
        <f t="shared" si="20"/>
        <v>833.02</v>
      </c>
      <c r="K607" s="6"/>
    </row>
    <row r="608" spans="1:11" ht="24" x14ac:dyDescent="0.25">
      <c r="A608" s="3">
        <v>93</v>
      </c>
      <c r="B608" s="14" t="s">
        <v>27</v>
      </c>
      <c r="C608" s="15" t="str">
        <f>"4/2015-MUP-91"</f>
        <v>4/2015-MUP-91</v>
      </c>
      <c r="D608" s="15" t="str">
        <f t="shared" si="19"/>
        <v>CROATIA OSIGURANJE D.D.</v>
      </c>
      <c r="E608" s="16">
        <v>42342</v>
      </c>
      <c r="F608" s="16">
        <v>42708</v>
      </c>
      <c r="G608" s="13">
        <v>1555.79</v>
      </c>
      <c r="H608" s="16">
        <v>42708</v>
      </c>
      <c r="I608" s="13">
        <v>1555.79</v>
      </c>
      <c r="J608" s="13">
        <f t="shared" si="20"/>
        <v>1555.79</v>
      </c>
      <c r="K608" s="6"/>
    </row>
    <row r="609" spans="1:11" ht="24" x14ac:dyDescent="0.25">
      <c r="A609" s="3">
        <v>94</v>
      </c>
      <c r="B609" s="14" t="s">
        <v>27</v>
      </c>
      <c r="C609" s="15" t="str">
        <f>"4/2015-MUP-69"</f>
        <v>4/2015-MUP-69</v>
      </c>
      <c r="D609" s="15" t="str">
        <f t="shared" si="19"/>
        <v>CROATIA OSIGURANJE D.D.</v>
      </c>
      <c r="E609" s="16">
        <v>42341</v>
      </c>
      <c r="F609" s="16">
        <v>42707</v>
      </c>
      <c r="G609" s="13">
        <v>1889.87</v>
      </c>
      <c r="H609" s="16">
        <v>42707</v>
      </c>
      <c r="I609" s="13">
        <v>1889.87</v>
      </c>
      <c r="J609" s="13">
        <f t="shared" si="20"/>
        <v>1889.87</v>
      </c>
      <c r="K609" s="6"/>
    </row>
    <row r="610" spans="1:11" ht="24" x14ac:dyDescent="0.25">
      <c r="A610" s="3">
        <v>95</v>
      </c>
      <c r="B610" s="14" t="s">
        <v>27</v>
      </c>
      <c r="C610" s="15" t="str">
        <f>"4/2015-MUP-68"</f>
        <v>4/2015-MUP-68</v>
      </c>
      <c r="D610" s="15" t="str">
        <f t="shared" si="19"/>
        <v>CROATIA OSIGURANJE D.D.</v>
      </c>
      <c r="E610" s="16">
        <v>42340</v>
      </c>
      <c r="F610" s="16">
        <v>42706</v>
      </c>
      <c r="G610" s="13">
        <v>8205.26</v>
      </c>
      <c r="H610" s="16">
        <v>42706</v>
      </c>
      <c r="I610" s="13">
        <v>8205.26</v>
      </c>
      <c r="J610" s="13">
        <f t="shared" si="20"/>
        <v>8205.26</v>
      </c>
      <c r="K610" s="6"/>
    </row>
    <row r="611" spans="1:11" ht="24" x14ac:dyDescent="0.25">
      <c r="A611" s="3">
        <v>96</v>
      </c>
      <c r="B611" s="14" t="s">
        <v>27</v>
      </c>
      <c r="C611" s="15" t="str">
        <f>"4/2015-MUP-67"</f>
        <v>4/2015-MUP-67</v>
      </c>
      <c r="D611" s="15" t="str">
        <f t="shared" si="19"/>
        <v>CROATIA OSIGURANJE D.D.</v>
      </c>
      <c r="E611" s="16">
        <v>42339</v>
      </c>
      <c r="F611" s="16">
        <v>42705</v>
      </c>
      <c r="G611" s="13">
        <v>3885.3</v>
      </c>
      <c r="H611" s="16">
        <v>42705</v>
      </c>
      <c r="I611" s="13">
        <v>3885.3</v>
      </c>
      <c r="J611" s="13">
        <f t="shared" si="20"/>
        <v>3885.3</v>
      </c>
      <c r="K611" s="6"/>
    </row>
    <row r="612" spans="1:11" ht="24" x14ac:dyDescent="0.25">
      <c r="A612" s="3">
        <v>97</v>
      </c>
      <c r="B612" s="14" t="s">
        <v>27</v>
      </c>
      <c r="C612" s="15" t="str">
        <f>"4/2015-MUP-66"</f>
        <v>4/2015-MUP-66</v>
      </c>
      <c r="D612" s="15" t="str">
        <f t="shared" ref="D612:D643" si="21">CONCATENATE("CROATIA OSIGURANJE D.D.")</f>
        <v>CROATIA OSIGURANJE D.D.</v>
      </c>
      <c r="E612" s="16">
        <v>42338</v>
      </c>
      <c r="F612" s="16">
        <v>42704</v>
      </c>
      <c r="G612" s="13">
        <v>496.37</v>
      </c>
      <c r="H612" s="16">
        <v>42704</v>
      </c>
      <c r="I612" s="13">
        <v>496.37</v>
      </c>
      <c r="J612" s="13">
        <f t="shared" si="20"/>
        <v>496.37</v>
      </c>
      <c r="K612" s="6"/>
    </row>
    <row r="613" spans="1:11" ht="24" x14ac:dyDescent="0.25">
      <c r="A613" s="3">
        <v>98</v>
      </c>
      <c r="B613" s="14" t="s">
        <v>27</v>
      </c>
      <c r="C613" s="15" t="str">
        <f>"4/2015-MUP-65"</f>
        <v>4/2015-MUP-65</v>
      </c>
      <c r="D613" s="15" t="str">
        <f t="shared" si="21"/>
        <v>CROATIA OSIGURANJE D.D.</v>
      </c>
      <c r="E613" s="16">
        <v>42337</v>
      </c>
      <c r="F613" s="16">
        <v>42703</v>
      </c>
      <c r="G613" s="13">
        <v>864.49</v>
      </c>
      <c r="H613" s="16">
        <v>42703</v>
      </c>
      <c r="I613" s="13">
        <v>864.49</v>
      </c>
      <c r="J613" s="13">
        <f t="shared" si="20"/>
        <v>864.49</v>
      </c>
      <c r="K613" s="6"/>
    </row>
    <row r="614" spans="1:11" ht="24" x14ac:dyDescent="0.25">
      <c r="A614" s="3">
        <v>99</v>
      </c>
      <c r="B614" s="14" t="s">
        <v>27</v>
      </c>
      <c r="C614" s="15" t="str">
        <f>"4/2015-MUP-64"</f>
        <v>4/2015-MUP-64</v>
      </c>
      <c r="D614" s="15" t="str">
        <f t="shared" si="21"/>
        <v>CROATIA OSIGURANJE D.D.</v>
      </c>
      <c r="E614" s="16">
        <v>42336</v>
      </c>
      <c r="F614" s="16">
        <v>42702</v>
      </c>
      <c r="G614" s="13">
        <v>1688.27</v>
      </c>
      <c r="H614" s="16">
        <v>42702</v>
      </c>
      <c r="I614" s="13">
        <v>1688.27</v>
      </c>
      <c r="J614" s="13">
        <f t="shared" si="20"/>
        <v>1688.27</v>
      </c>
      <c r="K614" s="6"/>
    </row>
    <row r="615" spans="1:11" ht="24" x14ac:dyDescent="0.25">
      <c r="A615" s="3">
        <v>100</v>
      </c>
      <c r="B615" s="14" t="s">
        <v>27</v>
      </c>
      <c r="C615" s="15" t="str">
        <f>"4/2015-MUP-63"</f>
        <v>4/2015-MUP-63</v>
      </c>
      <c r="D615" s="15" t="str">
        <f t="shared" si="21"/>
        <v>CROATIA OSIGURANJE D.D.</v>
      </c>
      <c r="E615" s="16">
        <v>42335</v>
      </c>
      <c r="F615" s="16">
        <v>42701</v>
      </c>
      <c r="G615" s="13">
        <v>322.58</v>
      </c>
      <c r="H615" s="16">
        <v>42701</v>
      </c>
      <c r="I615" s="13">
        <v>322.58</v>
      </c>
      <c r="J615" s="13">
        <f t="shared" si="20"/>
        <v>322.58</v>
      </c>
      <c r="K615" s="6"/>
    </row>
    <row r="616" spans="1:11" ht="24" x14ac:dyDescent="0.25">
      <c r="A616" s="3">
        <v>101</v>
      </c>
      <c r="B616" s="14" t="s">
        <v>27</v>
      </c>
      <c r="C616" s="15" t="str">
        <f>"4/2015-MUP-62"</f>
        <v>4/2015-MUP-62</v>
      </c>
      <c r="D616" s="15" t="str">
        <f t="shared" si="21"/>
        <v>CROATIA OSIGURANJE D.D.</v>
      </c>
      <c r="E616" s="16">
        <v>42334</v>
      </c>
      <c r="F616" s="16">
        <v>42700</v>
      </c>
      <c r="G616" s="13">
        <v>1658.43</v>
      </c>
      <c r="H616" s="16">
        <v>42700</v>
      </c>
      <c r="I616" s="13">
        <v>1658.43</v>
      </c>
      <c r="J616" s="13">
        <f t="shared" si="20"/>
        <v>1658.43</v>
      </c>
      <c r="K616" s="6"/>
    </row>
    <row r="617" spans="1:11" ht="24" x14ac:dyDescent="0.25">
      <c r="A617" s="3">
        <v>102</v>
      </c>
      <c r="B617" s="14" t="s">
        <v>27</v>
      </c>
      <c r="C617" s="15" t="str">
        <f>"4/2015-MUP-61"</f>
        <v>4/2015-MUP-61</v>
      </c>
      <c r="D617" s="15" t="str">
        <f t="shared" si="21"/>
        <v>CROATIA OSIGURANJE D.D.</v>
      </c>
      <c r="E617" s="16">
        <v>42333</v>
      </c>
      <c r="F617" s="16">
        <v>42699</v>
      </c>
      <c r="G617" s="13">
        <v>5273.6</v>
      </c>
      <c r="H617" s="16">
        <v>42699</v>
      </c>
      <c r="I617" s="13">
        <v>5273.6</v>
      </c>
      <c r="J617" s="13">
        <f t="shared" si="20"/>
        <v>5273.6</v>
      </c>
      <c r="K617" s="6"/>
    </row>
    <row r="618" spans="1:11" ht="24" x14ac:dyDescent="0.25">
      <c r="A618" s="3">
        <v>103</v>
      </c>
      <c r="B618" s="14" t="s">
        <v>27</v>
      </c>
      <c r="C618" s="15" t="str">
        <f>"4/2015-MUP-60"</f>
        <v>4/2015-MUP-60</v>
      </c>
      <c r="D618" s="15" t="str">
        <f t="shared" si="21"/>
        <v>CROATIA OSIGURANJE D.D.</v>
      </c>
      <c r="E618" s="16">
        <v>42332</v>
      </c>
      <c r="F618" s="16">
        <v>42698</v>
      </c>
      <c r="G618" s="13">
        <v>434.79</v>
      </c>
      <c r="H618" s="16">
        <v>42698</v>
      </c>
      <c r="I618" s="13">
        <v>434.79</v>
      </c>
      <c r="J618" s="13">
        <f t="shared" si="20"/>
        <v>434.79</v>
      </c>
      <c r="K618" s="6"/>
    </row>
    <row r="619" spans="1:11" ht="24" x14ac:dyDescent="0.25">
      <c r="A619" s="3">
        <v>104</v>
      </c>
      <c r="B619" s="14" t="s">
        <v>27</v>
      </c>
      <c r="C619" s="15" t="str">
        <f>"4/2015-MUP-59"</f>
        <v>4/2015-MUP-59</v>
      </c>
      <c r="D619" s="15" t="str">
        <f t="shared" si="21"/>
        <v>CROATIA OSIGURANJE D.D.</v>
      </c>
      <c r="E619" s="16">
        <v>42331</v>
      </c>
      <c r="F619" s="16">
        <v>42697</v>
      </c>
      <c r="G619" s="13">
        <v>556.75</v>
      </c>
      <c r="H619" s="16">
        <v>42697</v>
      </c>
      <c r="I619" s="13">
        <v>556.75</v>
      </c>
      <c r="J619" s="13">
        <f t="shared" si="20"/>
        <v>556.75</v>
      </c>
      <c r="K619" s="6"/>
    </row>
    <row r="620" spans="1:11" ht="24" x14ac:dyDescent="0.25">
      <c r="A620" s="3">
        <v>105</v>
      </c>
      <c r="B620" s="14" t="s">
        <v>27</v>
      </c>
      <c r="C620" s="15" t="str">
        <f>"4/2015-MUP-58"</f>
        <v>4/2015-MUP-58</v>
      </c>
      <c r="D620" s="15" t="str">
        <f t="shared" si="21"/>
        <v>CROATIA OSIGURANJE D.D.</v>
      </c>
      <c r="E620" s="16">
        <v>42329</v>
      </c>
      <c r="F620" s="16">
        <v>42695</v>
      </c>
      <c r="G620" s="13">
        <v>923.58</v>
      </c>
      <c r="H620" s="16">
        <v>42695</v>
      </c>
      <c r="I620" s="13">
        <v>923.58</v>
      </c>
      <c r="J620" s="13">
        <f t="shared" si="20"/>
        <v>923.58</v>
      </c>
      <c r="K620" s="6"/>
    </row>
    <row r="621" spans="1:11" ht="24" x14ac:dyDescent="0.25">
      <c r="A621" s="3">
        <v>106</v>
      </c>
      <c r="B621" s="14" t="s">
        <v>50</v>
      </c>
      <c r="C621" s="15" t="str">
        <f>"BROJ 016238313854"</f>
        <v>BROJ 016238313854</v>
      </c>
      <c r="D621" s="15" t="str">
        <f t="shared" si="21"/>
        <v>CROATIA OSIGURANJE D.D.</v>
      </c>
      <c r="E621" s="16">
        <v>42324</v>
      </c>
      <c r="F621" s="16">
        <v>42694</v>
      </c>
      <c r="G621" s="13">
        <v>507.96</v>
      </c>
      <c r="H621" s="16">
        <v>42694</v>
      </c>
      <c r="I621" s="13">
        <v>507.96</v>
      </c>
      <c r="J621" s="13">
        <f t="shared" si="20"/>
        <v>507.96</v>
      </c>
      <c r="K621" s="6"/>
    </row>
    <row r="622" spans="1:11" ht="24" x14ac:dyDescent="0.25">
      <c r="A622" s="3">
        <v>107</v>
      </c>
      <c r="B622" s="14" t="s">
        <v>54</v>
      </c>
      <c r="C622" s="15" t="str">
        <f>"004626082094"</f>
        <v>004626082094</v>
      </c>
      <c r="D622" s="15" t="str">
        <f t="shared" si="21"/>
        <v>CROATIA OSIGURANJE D.D.</v>
      </c>
      <c r="E622" s="16">
        <v>42300</v>
      </c>
      <c r="F622" s="16">
        <v>42694</v>
      </c>
      <c r="G622" s="13">
        <v>3294.12</v>
      </c>
      <c r="H622" s="16">
        <v>42694</v>
      </c>
      <c r="I622" s="13">
        <v>3294.12</v>
      </c>
      <c r="J622" s="13">
        <f t="shared" si="20"/>
        <v>3294.12</v>
      </c>
      <c r="K622" s="6"/>
    </row>
    <row r="623" spans="1:11" ht="24" x14ac:dyDescent="0.25">
      <c r="A623" s="3">
        <v>108</v>
      </c>
      <c r="B623" s="14" t="s">
        <v>27</v>
      </c>
      <c r="C623" s="15" t="str">
        <f>"4/2015-MUP-57"</f>
        <v>4/2015-MUP-57</v>
      </c>
      <c r="D623" s="15" t="str">
        <f t="shared" si="21"/>
        <v>CROATIA OSIGURANJE D.D.</v>
      </c>
      <c r="E623" s="16">
        <v>42328</v>
      </c>
      <c r="F623" s="16">
        <v>42694</v>
      </c>
      <c r="G623" s="13">
        <v>88.35</v>
      </c>
      <c r="H623" s="16">
        <v>42694</v>
      </c>
      <c r="I623" s="13">
        <v>88.35</v>
      </c>
      <c r="J623" s="13">
        <f t="shared" si="20"/>
        <v>88.35</v>
      </c>
      <c r="K623" s="6"/>
    </row>
    <row r="624" spans="1:11" ht="24" x14ac:dyDescent="0.25">
      <c r="A624" s="3">
        <v>109</v>
      </c>
      <c r="B624" s="14" t="s">
        <v>50</v>
      </c>
      <c r="C624" s="15" t="str">
        <f>"BROJ 004626085368"</f>
        <v>BROJ 004626085368</v>
      </c>
      <c r="D624" s="15" t="str">
        <f t="shared" si="21"/>
        <v>CROATIA OSIGURANJE D.D.</v>
      </c>
      <c r="E624" s="16">
        <v>42325</v>
      </c>
      <c r="F624" s="16">
        <v>42694</v>
      </c>
      <c r="G624" s="13">
        <v>2607.81</v>
      </c>
      <c r="H624" s="16">
        <v>42694</v>
      </c>
      <c r="I624" s="13">
        <v>2607.81</v>
      </c>
      <c r="J624" s="13">
        <f t="shared" si="20"/>
        <v>2607.81</v>
      </c>
      <c r="K624" s="6"/>
    </row>
    <row r="625" spans="1:11" ht="24" x14ac:dyDescent="0.25">
      <c r="A625" s="3">
        <v>110</v>
      </c>
      <c r="B625" s="14" t="s">
        <v>27</v>
      </c>
      <c r="C625" s="15" t="str">
        <f>"4/2015-MUP-56"</f>
        <v>4/2015-MUP-56</v>
      </c>
      <c r="D625" s="15" t="str">
        <f t="shared" si="21"/>
        <v>CROATIA OSIGURANJE D.D.</v>
      </c>
      <c r="E625" s="16">
        <v>42327</v>
      </c>
      <c r="F625" s="16">
        <v>42693</v>
      </c>
      <c r="G625" s="13">
        <v>2148.87</v>
      </c>
      <c r="H625" s="16">
        <v>42693</v>
      </c>
      <c r="I625" s="13">
        <v>2148.87</v>
      </c>
      <c r="J625" s="13">
        <f t="shared" si="20"/>
        <v>2148.87</v>
      </c>
      <c r="K625" s="6"/>
    </row>
    <row r="626" spans="1:11" ht="24" x14ac:dyDescent="0.25">
      <c r="A626" s="3">
        <v>111</v>
      </c>
      <c r="B626" s="14" t="s">
        <v>27</v>
      </c>
      <c r="C626" s="15" t="str">
        <f>"4/2015-MUP-55"</f>
        <v>4/2015-MUP-55</v>
      </c>
      <c r="D626" s="15" t="str">
        <f t="shared" si="21"/>
        <v>CROATIA OSIGURANJE D.D.</v>
      </c>
      <c r="E626" s="16">
        <v>42326</v>
      </c>
      <c r="F626" s="16">
        <v>42692</v>
      </c>
      <c r="G626" s="13">
        <v>1020.43</v>
      </c>
      <c r="H626" s="16">
        <v>42692</v>
      </c>
      <c r="I626" s="13">
        <v>1020.43</v>
      </c>
      <c r="J626" s="13">
        <f t="shared" si="20"/>
        <v>1020.43</v>
      </c>
      <c r="K626" s="6"/>
    </row>
    <row r="627" spans="1:11" ht="24" x14ac:dyDescent="0.25">
      <c r="A627" s="3">
        <v>112</v>
      </c>
      <c r="B627" s="14" t="s">
        <v>27</v>
      </c>
      <c r="C627" s="15" t="str">
        <f>"4/2015-MUP-54"</f>
        <v>4/2015-MUP-54</v>
      </c>
      <c r="D627" s="15" t="str">
        <f t="shared" si="21"/>
        <v>CROATIA OSIGURANJE D.D.</v>
      </c>
      <c r="E627" s="16">
        <v>42325</v>
      </c>
      <c r="F627" s="16">
        <v>42691</v>
      </c>
      <c r="G627" s="13">
        <v>1265.8900000000001</v>
      </c>
      <c r="H627" s="16">
        <v>42691</v>
      </c>
      <c r="I627" s="13">
        <v>1265.8900000000001</v>
      </c>
      <c r="J627" s="13">
        <f t="shared" si="20"/>
        <v>1265.8900000000001</v>
      </c>
      <c r="K627" s="6"/>
    </row>
    <row r="628" spans="1:11" ht="24" x14ac:dyDescent="0.25">
      <c r="A628" s="3">
        <v>113</v>
      </c>
      <c r="B628" s="14" t="s">
        <v>27</v>
      </c>
      <c r="C628" s="15" t="str">
        <f>"4/2015-MUP 53"</f>
        <v>4/2015-MUP 53</v>
      </c>
      <c r="D628" s="15" t="str">
        <f t="shared" si="21"/>
        <v>CROATIA OSIGURANJE D.D.</v>
      </c>
      <c r="E628" s="16">
        <v>42324</v>
      </c>
      <c r="F628" s="16">
        <v>42690</v>
      </c>
      <c r="G628" s="13">
        <v>2046.84</v>
      </c>
      <c r="H628" s="16">
        <v>42690</v>
      </c>
      <c r="I628" s="13">
        <v>2046.84</v>
      </c>
      <c r="J628" s="13">
        <f t="shared" si="20"/>
        <v>2046.84</v>
      </c>
      <c r="K628" s="6"/>
    </row>
    <row r="629" spans="1:11" ht="24" x14ac:dyDescent="0.25">
      <c r="A629" s="3">
        <v>114</v>
      </c>
      <c r="B629" s="14" t="s">
        <v>27</v>
      </c>
      <c r="C629" s="15" t="str">
        <f>"4/2015-MUP-52"</f>
        <v>4/2015-MUP-52</v>
      </c>
      <c r="D629" s="15" t="str">
        <f t="shared" si="21"/>
        <v>CROATIA OSIGURANJE D.D.</v>
      </c>
      <c r="E629" s="16">
        <v>42323</v>
      </c>
      <c r="F629" s="16">
        <v>42689</v>
      </c>
      <c r="G629" s="13">
        <v>231.84</v>
      </c>
      <c r="H629" s="16">
        <v>42689</v>
      </c>
      <c r="I629" s="13">
        <v>231.84</v>
      </c>
      <c r="J629" s="13">
        <f t="shared" si="20"/>
        <v>231.84</v>
      </c>
      <c r="K629" s="6"/>
    </row>
    <row r="630" spans="1:11" ht="24" x14ac:dyDescent="0.25">
      <c r="A630" s="3">
        <v>115</v>
      </c>
      <c r="B630" s="14" t="s">
        <v>27</v>
      </c>
      <c r="C630" s="15" t="str">
        <f>"4/2015-MUP-51"</f>
        <v>4/2015-MUP-51</v>
      </c>
      <c r="D630" s="15" t="str">
        <f t="shared" si="21"/>
        <v>CROATIA OSIGURANJE D.D.</v>
      </c>
      <c r="E630" s="16">
        <v>42321</v>
      </c>
      <c r="F630" s="16">
        <v>42687</v>
      </c>
      <c r="G630" s="13">
        <v>802.58</v>
      </c>
      <c r="H630" s="16">
        <v>42687</v>
      </c>
      <c r="I630" s="13">
        <v>802.58</v>
      </c>
      <c r="J630" s="13">
        <f t="shared" si="20"/>
        <v>802.58</v>
      </c>
      <c r="K630" s="6"/>
    </row>
    <row r="631" spans="1:11" ht="24" x14ac:dyDescent="0.25">
      <c r="A631" s="3">
        <v>116</v>
      </c>
      <c r="B631" s="14" t="s">
        <v>27</v>
      </c>
      <c r="C631" s="15" t="str">
        <f>"4/2015-MUP-50"</f>
        <v>4/2015-MUP-50</v>
      </c>
      <c r="D631" s="15" t="str">
        <f t="shared" si="21"/>
        <v>CROATIA OSIGURANJE D.D.</v>
      </c>
      <c r="E631" s="16">
        <v>42320</v>
      </c>
      <c r="F631" s="16">
        <v>42686</v>
      </c>
      <c r="G631" s="13">
        <v>2218.83</v>
      </c>
      <c r="H631" s="16">
        <v>42686</v>
      </c>
      <c r="I631" s="13">
        <v>2218.83</v>
      </c>
      <c r="J631" s="13">
        <f t="shared" si="20"/>
        <v>2218.83</v>
      </c>
      <c r="K631" s="6"/>
    </row>
    <row r="632" spans="1:11" ht="24" x14ac:dyDescent="0.25">
      <c r="A632" s="3">
        <v>117</v>
      </c>
      <c r="B632" s="14" t="s">
        <v>27</v>
      </c>
      <c r="C632" s="15" t="str">
        <f>"4/2015-MUP-49"</f>
        <v>4/2015-MUP-49</v>
      </c>
      <c r="D632" s="15" t="str">
        <f t="shared" si="21"/>
        <v>CROATIA OSIGURANJE D.D.</v>
      </c>
      <c r="E632" s="16">
        <v>42319</v>
      </c>
      <c r="F632" s="16">
        <v>42685</v>
      </c>
      <c r="G632" s="13">
        <v>1216.06</v>
      </c>
      <c r="H632" s="16">
        <v>42685</v>
      </c>
      <c r="I632" s="13">
        <v>1216.06</v>
      </c>
      <c r="J632" s="13">
        <f t="shared" si="20"/>
        <v>1216.06</v>
      </c>
      <c r="K632" s="6"/>
    </row>
    <row r="633" spans="1:11" ht="24" x14ac:dyDescent="0.25">
      <c r="A633" s="3">
        <v>118</v>
      </c>
      <c r="B633" s="14" t="s">
        <v>54</v>
      </c>
      <c r="C633" s="15" t="str">
        <f>"016238264071"</f>
        <v>016238264071</v>
      </c>
      <c r="D633" s="15" t="str">
        <f t="shared" si="21"/>
        <v>CROATIA OSIGURANJE D.D.</v>
      </c>
      <c r="E633" s="16">
        <v>42300</v>
      </c>
      <c r="F633" s="16">
        <v>42685</v>
      </c>
      <c r="G633" s="13">
        <v>340.27</v>
      </c>
      <c r="H633" s="16">
        <v>42685</v>
      </c>
      <c r="I633" s="13">
        <v>340.27</v>
      </c>
      <c r="J633" s="13">
        <f t="shared" si="20"/>
        <v>340.27</v>
      </c>
      <c r="K633" s="6"/>
    </row>
    <row r="634" spans="1:11" ht="24" x14ac:dyDescent="0.25">
      <c r="A634" s="3">
        <v>119</v>
      </c>
      <c r="B634" s="14" t="s">
        <v>27</v>
      </c>
      <c r="C634" s="15" t="str">
        <f>"4/2015-MUP-48"</f>
        <v>4/2015-MUP-48</v>
      </c>
      <c r="D634" s="15" t="str">
        <f t="shared" si="21"/>
        <v>CROATIA OSIGURANJE D.D.</v>
      </c>
      <c r="E634" s="16">
        <v>42318</v>
      </c>
      <c r="F634" s="16">
        <v>42684</v>
      </c>
      <c r="G634" s="13">
        <v>838.96</v>
      </c>
      <c r="H634" s="16">
        <v>42684</v>
      </c>
      <c r="I634" s="13">
        <v>838.96</v>
      </c>
      <c r="J634" s="13">
        <f t="shared" si="20"/>
        <v>838.96</v>
      </c>
      <c r="K634" s="6"/>
    </row>
    <row r="635" spans="1:11" ht="24" x14ac:dyDescent="0.25">
      <c r="A635" s="3">
        <v>120</v>
      </c>
      <c r="B635" s="14" t="s">
        <v>27</v>
      </c>
      <c r="C635" s="15" t="str">
        <f>"4/2015-MUP-47"</f>
        <v>4/2015-MUP-47</v>
      </c>
      <c r="D635" s="15" t="str">
        <f t="shared" si="21"/>
        <v>CROATIA OSIGURANJE D.D.</v>
      </c>
      <c r="E635" s="16">
        <v>42317</v>
      </c>
      <c r="F635" s="16">
        <v>42683</v>
      </c>
      <c r="G635" s="13">
        <v>1087.08</v>
      </c>
      <c r="H635" s="16">
        <v>42683</v>
      </c>
      <c r="I635" s="13">
        <v>1087.08</v>
      </c>
      <c r="J635" s="13">
        <f t="shared" si="20"/>
        <v>1087.08</v>
      </c>
      <c r="K635" s="6"/>
    </row>
    <row r="636" spans="1:11" ht="24" x14ac:dyDescent="0.25">
      <c r="A636" s="3">
        <v>121</v>
      </c>
      <c r="B636" s="14" t="s">
        <v>27</v>
      </c>
      <c r="C636" s="15" t="str">
        <f>"4/2015-MUP-46"</f>
        <v>4/2015-MUP-46</v>
      </c>
      <c r="D636" s="15" t="str">
        <f t="shared" si="21"/>
        <v>CROATIA OSIGURANJE D.D.</v>
      </c>
      <c r="E636" s="16">
        <v>42316</v>
      </c>
      <c r="F636" s="16">
        <v>42682</v>
      </c>
      <c r="G636" s="13">
        <v>513.80999999999995</v>
      </c>
      <c r="H636" s="16">
        <v>42682</v>
      </c>
      <c r="I636" s="13">
        <v>513.80999999999995</v>
      </c>
      <c r="J636" s="13">
        <f t="shared" si="20"/>
        <v>513.80999999999995</v>
      </c>
      <c r="K636" s="6"/>
    </row>
    <row r="637" spans="1:11" ht="24" x14ac:dyDescent="0.25">
      <c r="A637" s="3">
        <v>122</v>
      </c>
      <c r="B637" s="14" t="s">
        <v>27</v>
      </c>
      <c r="C637" s="15" t="str">
        <f>"4/2015-MUP-45"</f>
        <v>4/2015-MUP-45</v>
      </c>
      <c r="D637" s="15" t="str">
        <f t="shared" si="21"/>
        <v>CROATIA OSIGURANJE D.D.</v>
      </c>
      <c r="E637" s="16">
        <v>42315</v>
      </c>
      <c r="F637" s="16">
        <v>42681</v>
      </c>
      <c r="G637" s="13">
        <v>721.96</v>
      </c>
      <c r="H637" s="16">
        <v>42681</v>
      </c>
      <c r="I637" s="13">
        <v>721.96</v>
      </c>
      <c r="J637" s="13">
        <f t="shared" si="20"/>
        <v>721.96</v>
      </c>
      <c r="K637" s="6"/>
    </row>
    <row r="638" spans="1:11" ht="24" x14ac:dyDescent="0.25">
      <c r="A638" s="3">
        <v>123</v>
      </c>
      <c r="B638" s="14" t="s">
        <v>27</v>
      </c>
      <c r="C638" s="15" t="str">
        <f>"4/2015-MUP-44"</f>
        <v>4/2015-MUP-44</v>
      </c>
      <c r="D638" s="15" t="str">
        <f t="shared" si="21"/>
        <v>CROATIA OSIGURANJE D.D.</v>
      </c>
      <c r="E638" s="16">
        <v>42314</v>
      </c>
      <c r="F638" s="16">
        <v>42680</v>
      </c>
      <c r="G638" s="13">
        <v>610.04999999999995</v>
      </c>
      <c r="H638" s="16">
        <v>42680</v>
      </c>
      <c r="I638" s="13">
        <v>610.04999999999995</v>
      </c>
      <c r="J638" s="13">
        <f t="shared" si="20"/>
        <v>610.04999999999995</v>
      </c>
      <c r="K638" s="6"/>
    </row>
    <row r="639" spans="1:11" ht="24" x14ac:dyDescent="0.25">
      <c r="A639" s="3">
        <v>124</v>
      </c>
      <c r="B639" s="14" t="s">
        <v>27</v>
      </c>
      <c r="C639" s="15" t="str">
        <f>"4/2015-MUP-43"</f>
        <v>4/2015-MUP-43</v>
      </c>
      <c r="D639" s="15" t="str">
        <f t="shared" si="21"/>
        <v>CROATIA OSIGURANJE D.D.</v>
      </c>
      <c r="E639" s="16">
        <v>42313</v>
      </c>
      <c r="F639" s="16">
        <v>42679</v>
      </c>
      <c r="G639" s="13">
        <v>257.24</v>
      </c>
      <c r="H639" s="16">
        <v>42679</v>
      </c>
      <c r="I639" s="13">
        <v>257.24</v>
      </c>
      <c r="J639" s="13">
        <f t="shared" si="20"/>
        <v>257.24</v>
      </c>
      <c r="K639" s="6"/>
    </row>
    <row r="640" spans="1:11" ht="24" x14ac:dyDescent="0.25">
      <c r="A640" s="3">
        <v>125</v>
      </c>
      <c r="B640" s="14" t="s">
        <v>27</v>
      </c>
      <c r="C640" s="15" t="str">
        <f>"4/2015-MUP-42"</f>
        <v>4/2015-MUP-42</v>
      </c>
      <c r="D640" s="15" t="str">
        <f t="shared" si="21"/>
        <v>CROATIA OSIGURANJE D.D.</v>
      </c>
      <c r="E640" s="16">
        <v>42312</v>
      </c>
      <c r="F640" s="16">
        <v>42678</v>
      </c>
      <c r="G640" s="13">
        <v>390.63</v>
      </c>
      <c r="H640" s="16">
        <v>42678</v>
      </c>
      <c r="I640" s="13">
        <v>390.63</v>
      </c>
      <c r="J640" s="13">
        <f t="shared" si="20"/>
        <v>390.63</v>
      </c>
      <c r="K640" s="6"/>
    </row>
    <row r="641" spans="1:11" ht="24" x14ac:dyDescent="0.25">
      <c r="A641" s="3">
        <v>126</v>
      </c>
      <c r="B641" s="14" t="s">
        <v>27</v>
      </c>
      <c r="C641" s="15" t="str">
        <f>"4/2015-MUP-41"</f>
        <v>4/2015-MUP-41</v>
      </c>
      <c r="D641" s="15" t="str">
        <f t="shared" si="21"/>
        <v>CROATIA OSIGURANJE D.D.</v>
      </c>
      <c r="E641" s="16">
        <v>42311</v>
      </c>
      <c r="F641" s="16">
        <v>42677</v>
      </c>
      <c r="G641" s="13">
        <v>672.83</v>
      </c>
      <c r="H641" s="16">
        <v>42677</v>
      </c>
      <c r="I641" s="13">
        <v>672.83</v>
      </c>
      <c r="J641" s="13">
        <f t="shared" si="20"/>
        <v>672.83</v>
      </c>
      <c r="K641" s="6"/>
    </row>
    <row r="642" spans="1:11" ht="24" x14ac:dyDescent="0.25">
      <c r="A642" s="3">
        <v>127</v>
      </c>
      <c r="B642" s="14" t="s">
        <v>27</v>
      </c>
      <c r="C642" s="15" t="str">
        <f>"4/2015-MUP-40"</f>
        <v>4/2015-MUP-40</v>
      </c>
      <c r="D642" s="15" t="str">
        <f t="shared" si="21"/>
        <v>CROATIA OSIGURANJE D.D.</v>
      </c>
      <c r="E642" s="16">
        <v>42310</v>
      </c>
      <c r="F642" s="16">
        <v>42676</v>
      </c>
      <c r="G642" s="13">
        <v>244.95</v>
      </c>
      <c r="H642" s="16">
        <v>42676</v>
      </c>
      <c r="I642" s="13">
        <v>244.95</v>
      </c>
      <c r="J642" s="13">
        <f t="shared" si="20"/>
        <v>244.95</v>
      </c>
      <c r="K642" s="6"/>
    </row>
    <row r="643" spans="1:11" ht="24" x14ac:dyDescent="0.25">
      <c r="A643" s="3">
        <v>128</v>
      </c>
      <c r="B643" s="14" t="s">
        <v>27</v>
      </c>
      <c r="C643" s="15" t="str">
        <f>"4/2015-MUP-39"</f>
        <v>4/2015-MUP-39</v>
      </c>
      <c r="D643" s="15" t="str">
        <f t="shared" si="21"/>
        <v>CROATIA OSIGURANJE D.D.</v>
      </c>
      <c r="E643" s="16">
        <v>42308</v>
      </c>
      <c r="F643" s="16">
        <v>42308</v>
      </c>
      <c r="G643" s="13">
        <v>7.38</v>
      </c>
      <c r="H643" s="16">
        <v>42308</v>
      </c>
      <c r="I643" s="13">
        <v>7.38</v>
      </c>
      <c r="J643" s="13">
        <f t="shared" si="20"/>
        <v>7.38</v>
      </c>
      <c r="K643" s="6"/>
    </row>
    <row r="644" spans="1:11" ht="24" x14ac:dyDescent="0.25">
      <c r="A644" s="3">
        <v>129</v>
      </c>
      <c r="B644" s="14" t="s">
        <v>27</v>
      </c>
      <c r="C644" s="15" t="str">
        <f>"4/2015-MUP-38"</f>
        <v>4/2015-MUP-38</v>
      </c>
      <c r="D644" s="15" t="str">
        <f t="shared" ref="D644:D675" si="22">CONCATENATE("CROATIA OSIGURANJE D.D.")</f>
        <v>CROATIA OSIGURANJE D.D.</v>
      </c>
      <c r="E644" s="16">
        <v>42307</v>
      </c>
      <c r="F644" s="16">
        <v>42673</v>
      </c>
      <c r="G644" s="13">
        <v>496.37</v>
      </c>
      <c r="H644" s="16">
        <v>42673</v>
      </c>
      <c r="I644" s="13">
        <v>496.37</v>
      </c>
      <c r="J644" s="13">
        <f t="shared" si="20"/>
        <v>496.37</v>
      </c>
      <c r="K644" s="6"/>
    </row>
    <row r="645" spans="1:11" ht="24" x14ac:dyDescent="0.25">
      <c r="A645" s="3">
        <v>130</v>
      </c>
      <c r="B645" s="14" t="s">
        <v>27</v>
      </c>
      <c r="C645" s="15" t="str">
        <f>"4/2015-MUP-37"</f>
        <v>4/2015-MUP-37</v>
      </c>
      <c r="D645" s="15" t="str">
        <f t="shared" si="22"/>
        <v>CROATIA OSIGURANJE D.D.</v>
      </c>
      <c r="E645" s="16">
        <v>42306</v>
      </c>
      <c r="F645" s="16">
        <v>42672</v>
      </c>
      <c r="G645" s="13">
        <v>864.49</v>
      </c>
      <c r="H645" s="16">
        <v>42672</v>
      </c>
      <c r="I645" s="13">
        <v>864.49</v>
      </c>
      <c r="J645" s="13">
        <f t="shared" ref="J645:J686" si="23">I645</f>
        <v>864.49</v>
      </c>
      <c r="K645" s="6"/>
    </row>
    <row r="646" spans="1:11" ht="24" x14ac:dyDescent="0.25">
      <c r="A646" s="3">
        <v>131</v>
      </c>
      <c r="B646" s="14" t="s">
        <v>27</v>
      </c>
      <c r="C646" s="15" t="str">
        <f>"4/2015-MUP-36"</f>
        <v>4/2015-MUP-36</v>
      </c>
      <c r="D646" s="15" t="str">
        <f t="shared" si="22"/>
        <v>CROATIA OSIGURANJE D.D.</v>
      </c>
      <c r="E646" s="16">
        <v>42305</v>
      </c>
      <c r="F646" s="16">
        <v>42671</v>
      </c>
      <c r="G646" s="13">
        <v>2647.8</v>
      </c>
      <c r="H646" s="16">
        <v>42671</v>
      </c>
      <c r="I646" s="13">
        <v>2647.8</v>
      </c>
      <c r="J646" s="13">
        <f t="shared" si="23"/>
        <v>2647.8</v>
      </c>
      <c r="K646" s="6"/>
    </row>
    <row r="647" spans="1:11" ht="24" x14ac:dyDescent="0.25">
      <c r="A647" s="3">
        <v>132</v>
      </c>
      <c r="B647" s="14" t="s">
        <v>27</v>
      </c>
      <c r="C647" s="15" t="str">
        <f>"4/2015-MUP-35"</f>
        <v>4/2015-MUP-35</v>
      </c>
      <c r="D647" s="15" t="str">
        <f t="shared" si="22"/>
        <v>CROATIA OSIGURANJE D.D.</v>
      </c>
      <c r="E647" s="16">
        <v>42304</v>
      </c>
      <c r="F647" s="16">
        <v>42670</v>
      </c>
      <c r="G647" s="13">
        <v>601.38</v>
      </c>
      <c r="H647" s="16">
        <v>42670</v>
      </c>
      <c r="I647" s="13">
        <v>601.38</v>
      </c>
      <c r="J647" s="13">
        <f t="shared" si="23"/>
        <v>601.38</v>
      </c>
      <c r="K647" s="6"/>
    </row>
    <row r="648" spans="1:11" ht="24" x14ac:dyDescent="0.25">
      <c r="A648" s="3">
        <v>133</v>
      </c>
      <c r="B648" s="14" t="s">
        <v>27</v>
      </c>
      <c r="C648" s="15" t="str">
        <f>"4/2015-MUP-34"</f>
        <v>4/2015-MUP-34</v>
      </c>
      <c r="D648" s="15" t="str">
        <f t="shared" si="22"/>
        <v>CROATIA OSIGURANJE D.D.</v>
      </c>
      <c r="E648" s="16">
        <v>42303</v>
      </c>
      <c r="F648" s="16">
        <v>42669</v>
      </c>
      <c r="G648" s="13">
        <v>6.76</v>
      </c>
      <c r="H648" s="16">
        <v>42669</v>
      </c>
      <c r="I648" s="13">
        <v>6.76</v>
      </c>
      <c r="J648" s="13">
        <f t="shared" si="23"/>
        <v>6.76</v>
      </c>
      <c r="K648" s="6"/>
    </row>
    <row r="649" spans="1:11" ht="24" x14ac:dyDescent="0.25">
      <c r="A649" s="3">
        <v>134</v>
      </c>
      <c r="B649" s="14" t="s">
        <v>27</v>
      </c>
      <c r="C649" s="15" t="str">
        <f>"4/2015-MUP-33"</f>
        <v>4/2015-MUP-33</v>
      </c>
      <c r="D649" s="15" t="str">
        <f t="shared" si="22"/>
        <v>CROATIA OSIGURANJE D.D.</v>
      </c>
      <c r="E649" s="16">
        <v>42301</v>
      </c>
      <c r="F649" s="16">
        <v>42301</v>
      </c>
      <c r="G649" s="13">
        <v>1782.94</v>
      </c>
      <c r="H649" s="16">
        <v>42301</v>
      </c>
      <c r="I649" s="13">
        <v>1782.94</v>
      </c>
      <c r="J649" s="13">
        <f t="shared" si="23"/>
        <v>1782.94</v>
      </c>
      <c r="K649" s="6"/>
    </row>
    <row r="650" spans="1:11" ht="24" x14ac:dyDescent="0.25">
      <c r="A650" s="3">
        <v>135</v>
      </c>
      <c r="B650" s="14" t="s">
        <v>27</v>
      </c>
      <c r="C650" s="15" t="str">
        <f>"4/2015-MUP-32"</f>
        <v>4/2015-MUP-32</v>
      </c>
      <c r="D650" s="15" t="str">
        <f t="shared" si="22"/>
        <v>CROATIA OSIGURANJE D.D.</v>
      </c>
      <c r="E650" s="16">
        <v>42300</v>
      </c>
      <c r="F650" s="16">
        <v>42666</v>
      </c>
      <c r="G650" s="13">
        <v>2943.4</v>
      </c>
      <c r="H650" s="16">
        <v>42666</v>
      </c>
      <c r="I650" s="13">
        <v>2943.4</v>
      </c>
      <c r="J650" s="13">
        <f t="shared" si="23"/>
        <v>2943.4</v>
      </c>
      <c r="K650" s="6"/>
    </row>
    <row r="651" spans="1:11" ht="24" x14ac:dyDescent="0.25">
      <c r="A651" s="3">
        <v>136</v>
      </c>
      <c r="B651" s="14" t="s">
        <v>27</v>
      </c>
      <c r="C651" s="15" t="str">
        <f>"4/2015-MUP-31"</f>
        <v>4/2015-MUP-31</v>
      </c>
      <c r="D651" s="15" t="str">
        <f t="shared" si="22"/>
        <v>CROATIA OSIGURANJE D.D.</v>
      </c>
      <c r="E651" s="16">
        <v>42298</v>
      </c>
      <c r="F651" s="16">
        <v>42664</v>
      </c>
      <c r="G651" s="13">
        <v>234.17</v>
      </c>
      <c r="H651" s="16">
        <v>42664</v>
      </c>
      <c r="I651" s="13">
        <v>234.17</v>
      </c>
      <c r="J651" s="13">
        <f t="shared" si="23"/>
        <v>234.17</v>
      </c>
      <c r="K651" s="6"/>
    </row>
    <row r="652" spans="1:11" ht="24" x14ac:dyDescent="0.25">
      <c r="A652" s="3">
        <v>137</v>
      </c>
      <c r="B652" s="14" t="s">
        <v>27</v>
      </c>
      <c r="C652" s="15" t="str">
        <f>"4/2015-MUP-30"</f>
        <v>4/2015-MUP-30</v>
      </c>
      <c r="D652" s="15" t="str">
        <f t="shared" si="22"/>
        <v>CROATIA OSIGURANJE D.D.</v>
      </c>
      <c r="E652" s="16">
        <v>42297</v>
      </c>
      <c r="F652" s="16">
        <v>42663</v>
      </c>
      <c r="G652" s="13">
        <v>221.34</v>
      </c>
      <c r="H652" s="16">
        <v>42663</v>
      </c>
      <c r="I652" s="13">
        <v>221.34</v>
      </c>
      <c r="J652" s="13">
        <f t="shared" si="23"/>
        <v>221.34</v>
      </c>
      <c r="K652" s="6"/>
    </row>
    <row r="653" spans="1:11" ht="24" x14ac:dyDescent="0.25">
      <c r="A653" s="3">
        <v>138</v>
      </c>
      <c r="B653" s="14" t="s">
        <v>27</v>
      </c>
      <c r="C653" s="15" t="str">
        <f>"4/2015-MUP-29"</f>
        <v>4/2015-MUP-29</v>
      </c>
      <c r="D653" s="15" t="str">
        <f t="shared" si="22"/>
        <v>CROATIA OSIGURANJE D.D.</v>
      </c>
      <c r="E653" s="16">
        <v>42296</v>
      </c>
      <c r="F653" s="16">
        <v>42662</v>
      </c>
      <c r="G653" s="13">
        <v>428.51</v>
      </c>
      <c r="H653" s="16">
        <v>42662</v>
      </c>
      <c r="I653" s="13">
        <v>428.51</v>
      </c>
      <c r="J653" s="13">
        <f t="shared" si="23"/>
        <v>428.51</v>
      </c>
      <c r="K653" s="6"/>
    </row>
    <row r="654" spans="1:11" ht="24" x14ac:dyDescent="0.25">
      <c r="A654" s="3">
        <v>139</v>
      </c>
      <c r="B654" s="14" t="s">
        <v>27</v>
      </c>
      <c r="C654" s="15" t="str">
        <f>"4/2015-MUP-28"</f>
        <v>4/2015-MUP-28</v>
      </c>
      <c r="D654" s="15" t="str">
        <f t="shared" si="22"/>
        <v>CROATIA OSIGURANJE D.D.</v>
      </c>
      <c r="E654" s="16">
        <v>42295</v>
      </c>
      <c r="F654" s="16">
        <v>42661</v>
      </c>
      <c r="G654" s="13">
        <v>411.98</v>
      </c>
      <c r="H654" s="16">
        <v>42661</v>
      </c>
      <c r="I654" s="13">
        <v>411.98</v>
      </c>
      <c r="J654" s="13">
        <f t="shared" si="23"/>
        <v>411.98</v>
      </c>
      <c r="K654" s="6"/>
    </row>
    <row r="655" spans="1:11" ht="24" x14ac:dyDescent="0.25">
      <c r="A655" s="3">
        <v>140</v>
      </c>
      <c r="B655" s="14" t="s">
        <v>27</v>
      </c>
      <c r="C655" s="15" t="str">
        <f>"4/2015-MUP-27"</f>
        <v>4/2015-MUP-27</v>
      </c>
      <c r="D655" s="15" t="str">
        <f t="shared" si="22"/>
        <v>CROATIA OSIGURANJE D.D.</v>
      </c>
      <c r="E655" s="16">
        <v>42294</v>
      </c>
      <c r="F655" s="16">
        <v>42660</v>
      </c>
      <c r="G655" s="13">
        <v>709.67</v>
      </c>
      <c r="H655" s="16">
        <v>42660</v>
      </c>
      <c r="I655" s="13">
        <v>709.67</v>
      </c>
      <c r="J655" s="13">
        <f t="shared" si="23"/>
        <v>709.67</v>
      </c>
      <c r="K655" s="6"/>
    </row>
    <row r="656" spans="1:11" ht="24" x14ac:dyDescent="0.25">
      <c r="A656" s="3">
        <v>141</v>
      </c>
      <c r="B656" s="14" t="s">
        <v>27</v>
      </c>
      <c r="C656" s="15" t="str">
        <f>"4/2015-MUP-26"</f>
        <v>4/2015-MUP-26</v>
      </c>
      <c r="D656" s="15" t="str">
        <f t="shared" si="22"/>
        <v>CROATIA OSIGURANJE D.D.</v>
      </c>
      <c r="E656" s="16">
        <v>42293</v>
      </c>
      <c r="F656" s="16">
        <v>42659</v>
      </c>
      <c r="G656" s="13">
        <v>2837.5</v>
      </c>
      <c r="H656" s="16">
        <v>42659</v>
      </c>
      <c r="I656" s="13">
        <v>2837.5</v>
      </c>
      <c r="J656" s="13">
        <f t="shared" si="23"/>
        <v>2837.5</v>
      </c>
      <c r="K656" s="6"/>
    </row>
    <row r="657" spans="1:11" ht="24" x14ac:dyDescent="0.25">
      <c r="A657" s="3">
        <v>142</v>
      </c>
      <c r="B657" s="14" t="s">
        <v>27</v>
      </c>
      <c r="C657" s="15" t="str">
        <f>"4/2015-MUP-25"</f>
        <v>4/2015-MUP-25</v>
      </c>
      <c r="D657" s="15" t="str">
        <f t="shared" si="22"/>
        <v>CROATIA OSIGURANJE D.D.</v>
      </c>
      <c r="E657" s="16">
        <v>42292</v>
      </c>
      <c r="F657" s="16">
        <v>42658</v>
      </c>
      <c r="G657" s="13">
        <v>1027.4100000000001</v>
      </c>
      <c r="H657" s="16">
        <v>42658</v>
      </c>
      <c r="I657" s="13">
        <v>1027.4100000000001</v>
      </c>
      <c r="J657" s="13">
        <f t="shared" si="23"/>
        <v>1027.4100000000001</v>
      </c>
      <c r="K657" s="6"/>
    </row>
    <row r="658" spans="1:11" ht="24" x14ac:dyDescent="0.25">
      <c r="A658" s="3">
        <v>143</v>
      </c>
      <c r="B658" s="14" t="s">
        <v>27</v>
      </c>
      <c r="C658" s="15" t="str">
        <f>"4/2015-MUP-24"</f>
        <v>4/2015-MUP-24</v>
      </c>
      <c r="D658" s="15" t="str">
        <f t="shared" si="22"/>
        <v>CROATIA OSIGURANJE D.D.</v>
      </c>
      <c r="E658" s="16">
        <v>42291</v>
      </c>
      <c r="F658" s="16">
        <v>42657</v>
      </c>
      <c r="G658" s="13">
        <v>1101.06</v>
      </c>
      <c r="H658" s="16">
        <v>42657</v>
      </c>
      <c r="I658" s="13">
        <v>1101.06</v>
      </c>
      <c r="J658" s="13">
        <f t="shared" si="23"/>
        <v>1101.06</v>
      </c>
      <c r="K658" s="6"/>
    </row>
    <row r="659" spans="1:11" ht="24" x14ac:dyDescent="0.25">
      <c r="A659" s="3">
        <v>144</v>
      </c>
      <c r="B659" s="14" t="s">
        <v>27</v>
      </c>
      <c r="C659" s="15" t="str">
        <f>"4/2015-MUP-23"</f>
        <v>4/2015-MUP-23</v>
      </c>
      <c r="D659" s="15" t="str">
        <f t="shared" si="22"/>
        <v>CROATIA OSIGURANJE D.D.</v>
      </c>
      <c r="E659" s="16">
        <v>42290</v>
      </c>
      <c r="F659" s="16">
        <v>42656</v>
      </c>
      <c r="G659" s="13">
        <v>767.69</v>
      </c>
      <c r="H659" s="16">
        <v>42656</v>
      </c>
      <c r="I659" s="13">
        <v>767.69</v>
      </c>
      <c r="J659" s="13">
        <f t="shared" si="23"/>
        <v>767.69</v>
      </c>
      <c r="K659" s="6"/>
    </row>
    <row r="660" spans="1:11" ht="24" x14ac:dyDescent="0.25">
      <c r="A660" s="3">
        <v>145</v>
      </c>
      <c r="B660" s="14" t="s">
        <v>55</v>
      </c>
      <c r="C660" s="15" t="str">
        <f>"O/15"</f>
        <v>O/15</v>
      </c>
      <c r="D660" s="15" t="str">
        <f t="shared" si="22"/>
        <v>CROATIA OSIGURANJE D.D.</v>
      </c>
      <c r="E660" s="16">
        <v>42290</v>
      </c>
      <c r="F660" s="16">
        <v>42369</v>
      </c>
      <c r="G660" s="13">
        <v>10723.44</v>
      </c>
      <c r="H660" s="16">
        <v>42369</v>
      </c>
      <c r="I660" s="13">
        <v>10723.44</v>
      </c>
      <c r="J660" s="13">
        <f t="shared" si="23"/>
        <v>10723.44</v>
      </c>
      <c r="K660" s="6"/>
    </row>
    <row r="661" spans="1:11" ht="24" x14ac:dyDescent="0.25">
      <c r="A661" s="3">
        <v>146</v>
      </c>
      <c r="B661" s="14" t="s">
        <v>27</v>
      </c>
      <c r="C661" s="15" t="str">
        <f>"4/2015-MUP-22"</f>
        <v>4/2015-MUP-22</v>
      </c>
      <c r="D661" s="15" t="str">
        <f t="shared" si="22"/>
        <v>CROATIA OSIGURANJE D.D.</v>
      </c>
      <c r="E661" s="16">
        <v>42289</v>
      </c>
      <c r="F661" s="16">
        <v>42655</v>
      </c>
      <c r="G661" s="13">
        <v>808.39</v>
      </c>
      <c r="H661" s="16">
        <v>42655</v>
      </c>
      <c r="I661" s="13">
        <v>808.39</v>
      </c>
      <c r="J661" s="13">
        <f t="shared" si="23"/>
        <v>808.39</v>
      </c>
      <c r="K661" s="6"/>
    </row>
    <row r="662" spans="1:11" ht="24" x14ac:dyDescent="0.25">
      <c r="A662" s="3">
        <v>147</v>
      </c>
      <c r="B662" s="14" t="s">
        <v>27</v>
      </c>
      <c r="C662" s="15" t="str">
        <f>"4/2015-MUP-21"</f>
        <v>4/2015-MUP-21</v>
      </c>
      <c r="D662" s="15" t="str">
        <f t="shared" si="22"/>
        <v>CROATIA OSIGURANJE D.D.</v>
      </c>
      <c r="E662" s="16">
        <v>42286</v>
      </c>
      <c r="F662" s="16">
        <v>42652</v>
      </c>
      <c r="G662" s="13">
        <v>2610.11</v>
      </c>
      <c r="H662" s="16">
        <v>42652</v>
      </c>
      <c r="I662" s="13">
        <v>2610.11</v>
      </c>
      <c r="J662" s="13">
        <f t="shared" si="23"/>
        <v>2610.11</v>
      </c>
      <c r="K662" s="6"/>
    </row>
    <row r="663" spans="1:11" ht="24" x14ac:dyDescent="0.25">
      <c r="A663" s="3">
        <v>148</v>
      </c>
      <c r="B663" s="14" t="s">
        <v>27</v>
      </c>
      <c r="C663" s="15" t="str">
        <f>"4/2015-MUP-20"</f>
        <v>4/2015-MUP-20</v>
      </c>
      <c r="D663" s="15" t="str">
        <f t="shared" si="22"/>
        <v>CROATIA OSIGURANJE D.D.</v>
      </c>
      <c r="E663" s="16">
        <v>42285</v>
      </c>
      <c r="F663" s="16">
        <v>42651</v>
      </c>
      <c r="G663" s="13">
        <v>556.13</v>
      </c>
      <c r="H663" s="16">
        <v>42651</v>
      </c>
      <c r="I663" s="13">
        <v>556.13</v>
      </c>
      <c r="J663" s="13">
        <f t="shared" si="23"/>
        <v>556.13</v>
      </c>
      <c r="K663" s="6"/>
    </row>
    <row r="664" spans="1:11" ht="24" x14ac:dyDescent="0.25">
      <c r="A664" s="3">
        <v>149</v>
      </c>
      <c r="B664" s="14" t="s">
        <v>27</v>
      </c>
      <c r="C664" s="15" t="str">
        <f>"4/2015-MUP-19"</f>
        <v>4/2015-MUP-19</v>
      </c>
      <c r="D664" s="15" t="str">
        <f t="shared" si="22"/>
        <v>CROATIA OSIGURANJE D.D.</v>
      </c>
      <c r="E664" s="16">
        <v>42284</v>
      </c>
      <c r="F664" s="16">
        <v>42650</v>
      </c>
      <c r="G664" s="13">
        <v>772.67</v>
      </c>
      <c r="H664" s="16">
        <v>42650</v>
      </c>
      <c r="I664" s="13">
        <v>772.67</v>
      </c>
      <c r="J664" s="13">
        <f t="shared" si="23"/>
        <v>772.67</v>
      </c>
      <c r="K664" s="6"/>
    </row>
    <row r="665" spans="1:11" ht="24" x14ac:dyDescent="0.25">
      <c r="A665" s="3">
        <v>150</v>
      </c>
      <c r="B665" s="14" t="s">
        <v>27</v>
      </c>
      <c r="C665" s="15" t="str">
        <f>"4/2015-MUP-18"</f>
        <v>4/2015-MUP-18</v>
      </c>
      <c r="D665" s="15" t="str">
        <f t="shared" si="22"/>
        <v>CROATIA OSIGURANJE D.D.</v>
      </c>
      <c r="E665" s="16">
        <v>42283</v>
      </c>
      <c r="F665" s="16">
        <v>42649</v>
      </c>
      <c r="G665" s="13">
        <v>762.41</v>
      </c>
      <c r="H665" s="16">
        <v>42649</v>
      </c>
      <c r="I665" s="13">
        <v>762.41</v>
      </c>
      <c r="J665" s="13">
        <f t="shared" si="23"/>
        <v>762.41</v>
      </c>
      <c r="K665" s="6"/>
    </row>
    <row r="666" spans="1:11" ht="24" x14ac:dyDescent="0.25">
      <c r="A666" s="3">
        <v>151</v>
      </c>
      <c r="B666" s="14" t="s">
        <v>27</v>
      </c>
      <c r="C666" s="15" t="str">
        <f>"4/2015-MUP-17"</f>
        <v>4/2015-MUP-17</v>
      </c>
      <c r="D666" s="15" t="str">
        <f t="shared" si="22"/>
        <v>CROATIA OSIGURANJE D.D.</v>
      </c>
      <c r="E666" s="16">
        <v>42282</v>
      </c>
      <c r="F666" s="16">
        <v>42648</v>
      </c>
      <c r="G666" s="13">
        <v>1323.13</v>
      </c>
      <c r="H666" s="16">
        <v>42648</v>
      </c>
      <c r="I666" s="13">
        <v>1323.13</v>
      </c>
      <c r="J666" s="13">
        <f t="shared" si="23"/>
        <v>1323.13</v>
      </c>
      <c r="K666" s="6"/>
    </row>
    <row r="667" spans="1:11" ht="24" x14ac:dyDescent="0.25">
      <c r="A667" s="3">
        <v>152</v>
      </c>
      <c r="B667" s="14" t="s">
        <v>27</v>
      </c>
      <c r="C667" s="15" t="str">
        <f>"4/2015-MUP-16"</f>
        <v>4/2015-MUP-16</v>
      </c>
      <c r="D667" s="15" t="str">
        <f t="shared" si="22"/>
        <v>CROATIA OSIGURANJE D.D.</v>
      </c>
      <c r="E667" s="16">
        <v>42281</v>
      </c>
      <c r="F667" s="16">
        <v>42647</v>
      </c>
      <c r="G667" s="13">
        <v>2433.15</v>
      </c>
      <c r="H667" s="16">
        <v>42647</v>
      </c>
      <c r="I667" s="13">
        <v>2433.15</v>
      </c>
      <c r="J667" s="13">
        <f t="shared" si="23"/>
        <v>2433.15</v>
      </c>
      <c r="K667" s="6"/>
    </row>
    <row r="668" spans="1:11" ht="24" x14ac:dyDescent="0.25">
      <c r="A668" s="3">
        <v>153</v>
      </c>
      <c r="B668" s="14" t="s">
        <v>27</v>
      </c>
      <c r="C668" s="15" t="str">
        <f>"4/2015-MUP-15"</f>
        <v>4/2015-MUP-15</v>
      </c>
      <c r="D668" s="15" t="str">
        <f t="shared" si="22"/>
        <v>CROATIA OSIGURANJE D.D.</v>
      </c>
      <c r="E668" s="16">
        <v>42280</v>
      </c>
      <c r="F668" s="16">
        <v>42646</v>
      </c>
      <c r="G668" s="13">
        <v>5785.08</v>
      </c>
      <c r="H668" s="16">
        <v>42646</v>
      </c>
      <c r="I668" s="13">
        <v>5785.08</v>
      </c>
      <c r="J668" s="13">
        <f t="shared" si="23"/>
        <v>5785.08</v>
      </c>
      <c r="K668" s="6"/>
    </row>
    <row r="669" spans="1:11" ht="24" x14ac:dyDescent="0.25">
      <c r="A669" s="3">
        <v>154</v>
      </c>
      <c r="B669" s="14" t="s">
        <v>27</v>
      </c>
      <c r="C669" s="15" t="str">
        <f>"4/2015-MUP-14"</f>
        <v>4/2015-MUP-14</v>
      </c>
      <c r="D669" s="15" t="str">
        <f t="shared" si="22"/>
        <v>CROATIA OSIGURANJE D.D.</v>
      </c>
      <c r="E669" s="16">
        <v>42279</v>
      </c>
      <c r="F669" s="16">
        <v>42645</v>
      </c>
      <c r="G669" s="13">
        <v>3096.83</v>
      </c>
      <c r="H669" s="16">
        <v>42645</v>
      </c>
      <c r="I669" s="13">
        <v>3096.83</v>
      </c>
      <c r="J669" s="13">
        <f t="shared" si="23"/>
        <v>3096.83</v>
      </c>
      <c r="K669" s="6"/>
    </row>
    <row r="670" spans="1:11" ht="24" x14ac:dyDescent="0.25">
      <c r="A670" s="3">
        <v>155</v>
      </c>
      <c r="B670" s="14" t="s">
        <v>27</v>
      </c>
      <c r="C670" s="15" t="str">
        <f>"4/2015-MUP-13"</f>
        <v>4/2015-MUP-13</v>
      </c>
      <c r="D670" s="15" t="str">
        <f t="shared" si="22"/>
        <v>CROATIA OSIGURANJE D.D.</v>
      </c>
      <c r="E670" s="16">
        <v>42278</v>
      </c>
      <c r="F670" s="16">
        <v>42644</v>
      </c>
      <c r="G670" s="13">
        <v>3288.33</v>
      </c>
      <c r="H670" s="16">
        <v>42644</v>
      </c>
      <c r="I670" s="13">
        <v>3288.33</v>
      </c>
      <c r="J670" s="13">
        <f t="shared" si="23"/>
        <v>3288.33</v>
      </c>
      <c r="K670" s="6"/>
    </row>
    <row r="671" spans="1:11" ht="24" x14ac:dyDescent="0.25">
      <c r="A671" s="3">
        <v>156</v>
      </c>
      <c r="B671" s="14" t="s">
        <v>27</v>
      </c>
      <c r="C671" s="15" t="str">
        <f>"4/2015-MUP -12"</f>
        <v>4/2015-MUP -12</v>
      </c>
      <c r="D671" s="15" t="str">
        <f t="shared" si="22"/>
        <v>CROATIA OSIGURANJE D.D.</v>
      </c>
      <c r="E671" s="16">
        <v>42277</v>
      </c>
      <c r="F671" s="16">
        <v>42643</v>
      </c>
      <c r="G671" s="13">
        <v>1905.87</v>
      </c>
      <c r="H671" s="16">
        <v>42643</v>
      </c>
      <c r="I671" s="13">
        <v>1905.87</v>
      </c>
      <c r="J671" s="13">
        <f t="shared" si="23"/>
        <v>1905.87</v>
      </c>
      <c r="K671" s="6"/>
    </row>
    <row r="672" spans="1:11" ht="24" x14ac:dyDescent="0.25">
      <c r="A672" s="3">
        <v>157</v>
      </c>
      <c r="B672" s="14" t="s">
        <v>27</v>
      </c>
      <c r="C672" s="15" t="str">
        <f>"4/2015-MUP-12"</f>
        <v>4/2015-MUP-12</v>
      </c>
      <c r="D672" s="15" t="str">
        <f t="shared" si="22"/>
        <v>CROATIA OSIGURANJE D.D.</v>
      </c>
      <c r="E672" s="16">
        <v>42277</v>
      </c>
      <c r="F672" s="16">
        <v>42643</v>
      </c>
      <c r="G672" s="13">
        <v>0</v>
      </c>
      <c r="H672" s="16">
        <v>42643</v>
      </c>
      <c r="I672" s="13">
        <v>0</v>
      </c>
      <c r="J672" s="13">
        <f t="shared" si="23"/>
        <v>0</v>
      </c>
      <c r="K672" s="6"/>
    </row>
    <row r="673" spans="1:11" ht="24" x14ac:dyDescent="0.25">
      <c r="A673" s="3">
        <v>158</v>
      </c>
      <c r="B673" s="14" t="s">
        <v>27</v>
      </c>
      <c r="C673" s="15" t="str">
        <f>"4/2015-MUP-11"</f>
        <v>4/2015-MUP-11</v>
      </c>
      <c r="D673" s="15" t="str">
        <f t="shared" si="22"/>
        <v>CROATIA OSIGURANJE D.D.</v>
      </c>
      <c r="E673" s="16">
        <v>42276</v>
      </c>
      <c r="F673" s="16">
        <v>42642</v>
      </c>
      <c r="G673" s="13">
        <v>615.26</v>
      </c>
      <c r="H673" s="16">
        <v>42642</v>
      </c>
      <c r="I673" s="13">
        <v>615.26</v>
      </c>
      <c r="J673" s="13">
        <f t="shared" si="23"/>
        <v>615.26</v>
      </c>
      <c r="K673" s="6"/>
    </row>
    <row r="674" spans="1:11" ht="24" x14ac:dyDescent="0.25">
      <c r="A674" s="3">
        <v>159</v>
      </c>
      <c r="B674" s="14" t="s">
        <v>27</v>
      </c>
      <c r="C674" s="15" t="str">
        <f>"4/2015-MUP-10"</f>
        <v>4/2015-MUP-10</v>
      </c>
      <c r="D674" s="15" t="str">
        <f t="shared" si="22"/>
        <v>CROATIA OSIGURANJE D.D.</v>
      </c>
      <c r="E674" s="16">
        <v>42275</v>
      </c>
      <c r="F674" s="16">
        <v>42641</v>
      </c>
      <c r="G674" s="13">
        <v>355.77</v>
      </c>
      <c r="H674" s="16">
        <v>42641</v>
      </c>
      <c r="I674" s="13">
        <v>355.77</v>
      </c>
      <c r="J674" s="13">
        <f t="shared" si="23"/>
        <v>355.77</v>
      </c>
      <c r="K674" s="6"/>
    </row>
    <row r="675" spans="1:11" ht="24" x14ac:dyDescent="0.25">
      <c r="A675" s="3">
        <v>160</v>
      </c>
      <c r="B675" s="14" t="s">
        <v>27</v>
      </c>
      <c r="C675" s="15" t="str">
        <f>"4/2015-MUP-8"</f>
        <v>4/2015-MUP-8</v>
      </c>
      <c r="D675" s="15" t="str">
        <f t="shared" si="22"/>
        <v>CROATIA OSIGURANJE D.D.</v>
      </c>
      <c r="E675" s="16">
        <v>42274</v>
      </c>
      <c r="F675" s="16">
        <v>42640</v>
      </c>
      <c r="G675" s="13">
        <v>2343.0300000000002</v>
      </c>
      <c r="H675" s="16">
        <v>42640</v>
      </c>
      <c r="I675" s="13">
        <v>2343.0300000000002</v>
      </c>
      <c r="J675" s="13">
        <f t="shared" si="23"/>
        <v>2343.0300000000002</v>
      </c>
      <c r="K675" s="6"/>
    </row>
    <row r="676" spans="1:11" ht="24" x14ac:dyDescent="0.25">
      <c r="A676" s="3">
        <v>161</v>
      </c>
      <c r="B676" s="14" t="s">
        <v>27</v>
      </c>
      <c r="C676" s="15" t="str">
        <f>"4/2015-MUP-9"</f>
        <v>4/2015-MUP-9</v>
      </c>
      <c r="D676" s="15" t="str">
        <f t="shared" ref="D676:D686" si="24">CONCATENATE("CROATIA OSIGURANJE D.D.")</f>
        <v>CROATIA OSIGURANJE D.D.</v>
      </c>
      <c r="E676" s="16">
        <v>42273</v>
      </c>
      <c r="F676" s="16">
        <v>42639</v>
      </c>
      <c r="G676" s="13">
        <v>9166.44</v>
      </c>
      <c r="H676" s="16">
        <v>42639</v>
      </c>
      <c r="I676" s="13">
        <v>9166.44</v>
      </c>
      <c r="J676" s="13">
        <f t="shared" si="23"/>
        <v>9166.44</v>
      </c>
      <c r="K676" s="6"/>
    </row>
    <row r="677" spans="1:11" ht="24" x14ac:dyDescent="0.25">
      <c r="A677" s="3">
        <v>162</v>
      </c>
      <c r="B677" s="14" t="s">
        <v>27</v>
      </c>
      <c r="C677" s="15" t="str">
        <f>"4/2015-MUP-7"</f>
        <v>4/2015-MUP-7</v>
      </c>
      <c r="D677" s="15" t="str">
        <f t="shared" si="24"/>
        <v>CROATIA OSIGURANJE D.D.</v>
      </c>
      <c r="E677" s="16">
        <v>42273</v>
      </c>
      <c r="F677" s="16">
        <v>42639</v>
      </c>
      <c r="G677" s="13">
        <v>9166.44</v>
      </c>
      <c r="H677" s="16">
        <v>42639</v>
      </c>
      <c r="I677" s="13">
        <v>9166.44</v>
      </c>
      <c r="J677" s="13">
        <f t="shared" si="23"/>
        <v>9166.44</v>
      </c>
      <c r="K677" s="6"/>
    </row>
    <row r="678" spans="1:11" ht="24" x14ac:dyDescent="0.25">
      <c r="A678" s="3">
        <v>163</v>
      </c>
      <c r="B678" s="14" t="s">
        <v>27</v>
      </c>
      <c r="C678" s="15" t="str">
        <f>"4/2015-MUP-6"</f>
        <v>4/2015-MUP-6</v>
      </c>
      <c r="D678" s="15" t="str">
        <f t="shared" si="24"/>
        <v>CROATIA OSIGURANJE D.D.</v>
      </c>
      <c r="E678" s="16">
        <v>42272</v>
      </c>
      <c r="F678" s="16">
        <v>42638</v>
      </c>
      <c r="G678" s="13">
        <v>1619.73</v>
      </c>
      <c r="H678" s="16">
        <v>42638</v>
      </c>
      <c r="I678" s="13">
        <v>1619.73</v>
      </c>
      <c r="J678" s="13">
        <f t="shared" si="23"/>
        <v>1619.73</v>
      </c>
      <c r="K678" s="6"/>
    </row>
    <row r="679" spans="1:11" ht="24" x14ac:dyDescent="0.25">
      <c r="A679" s="3">
        <v>164</v>
      </c>
      <c r="B679" s="14" t="s">
        <v>27</v>
      </c>
      <c r="C679" s="15" t="str">
        <f>"4/2015-MUP-5"</f>
        <v>4/2015-MUP-5</v>
      </c>
      <c r="D679" s="15" t="str">
        <f t="shared" si="24"/>
        <v>CROATIA OSIGURANJE D.D.</v>
      </c>
      <c r="E679" s="16">
        <v>42271</v>
      </c>
      <c r="F679" s="16">
        <v>42637</v>
      </c>
      <c r="G679" s="13">
        <v>690.89</v>
      </c>
      <c r="H679" s="16">
        <v>42637</v>
      </c>
      <c r="I679" s="13">
        <v>690.89</v>
      </c>
      <c r="J679" s="13">
        <f t="shared" si="23"/>
        <v>690.89</v>
      </c>
      <c r="K679" s="6"/>
    </row>
    <row r="680" spans="1:11" ht="24" x14ac:dyDescent="0.25">
      <c r="A680" s="3">
        <v>165</v>
      </c>
      <c r="B680" s="14" t="s">
        <v>27</v>
      </c>
      <c r="C680" s="15" t="str">
        <f>"4/2015-MUP-4"</f>
        <v>4/2015-MUP-4</v>
      </c>
      <c r="D680" s="15" t="str">
        <f t="shared" si="24"/>
        <v>CROATIA OSIGURANJE D.D.</v>
      </c>
      <c r="E680" s="16">
        <v>42270</v>
      </c>
      <c r="F680" s="16">
        <v>42636</v>
      </c>
      <c r="G680" s="13">
        <v>173.79</v>
      </c>
      <c r="H680" s="16">
        <v>42636</v>
      </c>
      <c r="I680" s="13">
        <v>173.79</v>
      </c>
      <c r="J680" s="13">
        <f t="shared" si="23"/>
        <v>173.79</v>
      </c>
      <c r="K680" s="6"/>
    </row>
    <row r="681" spans="1:11" ht="24" x14ac:dyDescent="0.25">
      <c r="A681" s="3">
        <v>166</v>
      </c>
      <c r="B681" s="14" t="s">
        <v>27</v>
      </c>
      <c r="C681" s="15" t="str">
        <f>"4/2015-MUP-3"</f>
        <v>4/2015-MUP-3</v>
      </c>
      <c r="D681" s="15" t="str">
        <f t="shared" si="24"/>
        <v>CROATIA OSIGURANJE D.D.</v>
      </c>
      <c r="E681" s="16">
        <v>42269</v>
      </c>
      <c r="F681" s="16">
        <v>42635</v>
      </c>
      <c r="G681" s="13">
        <v>3407.31</v>
      </c>
      <c r="H681" s="16">
        <v>42635</v>
      </c>
      <c r="I681" s="13">
        <v>3407.31</v>
      </c>
      <c r="J681" s="13">
        <f t="shared" si="23"/>
        <v>3407.31</v>
      </c>
      <c r="K681" s="6"/>
    </row>
    <row r="682" spans="1:11" ht="24" x14ac:dyDescent="0.25">
      <c r="A682" s="3">
        <v>167</v>
      </c>
      <c r="B682" s="14" t="s">
        <v>27</v>
      </c>
      <c r="C682" s="15" t="str">
        <f>"4/2015-MUP-2"</f>
        <v>4/2015-MUP-2</v>
      </c>
      <c r="D682" s="15" t="str">
        <f t="shared" si="24"/>
        <v>CROATIA OSIGURANJE D.D.</v>
      </c>
      <c r="E682" s="16">
        <v>42268</v>
      </c>
      <c r="F682" s="16">
        <v>42634</v>
      </c>
      <c r="G682" s="13">
        <v>1861.01</v>
      </c>
      <c r="H682" s="16">
        <v>42634</v>
      </c>
      <c r="I682" s="13">
        <v>1861.01</v>
      </c>
      <c r="J682" s="13">
        <f t="shared" si="23"/>
        <v>1861.01</v>
      </c>
      <c r="K682" s="6"/>
    </row>
    <row r="683" spans="1:11" ht="24" x14ac:dyDescent="0.25">
      <c r="A683" s="3">
        <v>168</v>
      </c>
      <c r="B683" s="14" t="s">
        <v>61</v>
      </c>
      <c r="C683" s="15" t="str">
        <f>"OSIGURANJE"</f>
        <v>OSIGURANJE</v>
      </c>
      <c r="D683" s="15" t="str">
        <f t="shared" si="24"/>
        <v>CROATIA OSIGURANJE D.D.</v>
      </c>
      <c r="E683" s="16">
        <v>42267</v>
      </c>
      <c r="F683" s="16">
        <v>42997</v>
      </c>
      <c r="G683" s="13">
        <v>80000</v>
      </c>
      <c r="H683" s="16">
        <v>42997</v>
      </c>
      <c r="I683" s="13">
        <v>804</v>
      </c>
      <c r="J683" s="13">
        <f t="shared" si="23"/>
        <v>804</v>
      </c>
      <c r="K683" s="6"/>
    </row>
    <row r="684" spans="1:11" ht="24" x14ac:dyDescent="0.25">
      <c r="A684" s="3">
        <v>169</v>
      </c>
      <c r="B684" s="14" t="s">
        <v>27</v>
      </c>
      <c r="C684" s="15" t="str">
        <f>"4/2015-MUP-1"</f>
        <v>4/2015-MUP-1</v>
      </c>
      <c r="D684" s="15" t="str">
        <f t="shared" si="24"/>
        <v>CROATIA OSIGURANJE D.D.</v>
      </c>
      <c r="E684" s="16">
        <v>42266</v>
      </c>
      <c r="F684" s="16">
        <v>42632</v>
      </c>
      <c r="G684" s="13">
        <v>542.26</v>
      </c>
      <c r="H684" s="16">
        <v>42632</v>
      </c>
      <c r="I684" s="13">
        <v>542.26</v>
      </c>
      <c r="J684" s="13">
        <f t="shared" si="23"/>
        <v>542.26</v>
      </c>
      <c r="K684" s="6"/>
    </row>
    <row r="685" spans="1:11" ht="24" x14ac:dyDescent="0.25">
      <c r="A685" s="3">
        <v>170</v>
      </c>
      <c r="B685" s="14" t="s">
        <v>43</v>
      </c>
      <c r="C685" s="15" t="str">
        <f>"4/2015-MRMS-1"</f>
        <v>4/2015-MRMS-1</v>
      </c>
      <c r="D685" s="15" t="str">
        <f t="shared" si="24"/>
        <v>CROATIA OSIGURANJE D.D.</v>
      </c>
      <c r="E685" s="16">
        <v>42248</v>
      </c>
      <c r="F685" s="16">
        <v>42369</v>
      </c>
      <c r="G685" s="13">
        <v>56484.1</v>
      </c>
      <c r="H685" s="16">
        <v>42369</v>
      </c>
      <c r="I685" s="13">
        <v>56484.1</v>
      </c>
      <c r="J685" s="13">
        <f t="shared" si="23"/>
        <v>56484.1</v>
      </c>
      <c r="K685" s="6"/>
    </row>
    <row r="686" spans="1:11" ht="24" x14ac:dyDescent="0.25">
      <c r="A686" s="3">
        <v>171</v>
      </c>
      <c r="B686" s="14" t="s">
        <v>53</v>
      </c>
      <c r="C686" s="15" t="str">
        <f>"4/2015-MB"</f>
        <v>4/2015-MB</v>
      </c>
      <c r="D686" s="15" t="str">
        <f t="shared" si="24"/>
        <v>CROATIA OSIGURANJE D.D.</v>
      </c>
      <c r="E686" s="16">
        <v>42247</v>
      </c>
      <c r="F686" s="16">
        <v>42369</v>
      </c>
      <c r="G686" s="13">
        <v>0</v>
      </c>
      <c r="H686" s="16">
        <v>42369</v>
      </c>
      <c r="I686" s="13">
        <v>6729.28</v>
      </c>
      <c r="J686" s="13">
        <f t="shared" si="23"/>
        <v>6729.28</v>
      </c>
      <c r="K686" s="6"/>
    </row>
  </sheetData>
  <sheetProtection algorithmName="SHA-512" hashValue="RkDyJ2/E/OXn7SCFQTRscSnU/JCagqCPqSY4jTbgKYIlAcLCO7SoaOi8g4NFkFc6jNiJ1uKm3YlrtiLYkm7oJg==" saltValue="K9mow6jGJ9Rgd5AyVq7yGQ==" spinCount="100000" sheet="1" objects="1" scenarios="1"/>
  <mergeCells count="7">
    <mergeCell ref="A514:K514"/>
    <mergeCell ref="A1:I1"/>
    <mergeCell ref="A4:H4"/>
    <mergeCell ref="A6:K6"/>
    <mergeCell ref="A12:H12"/>
    <mergeCell ref="A14:K14"/>
    <mergeCell ref="A512:H512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120"/>
  <sheetViews>
    <sheetView view="pageLayout" zoomScaleNormal="100" workbookViewId="0">
      <selection activeCell="D3" sqref="D3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87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36" x14ac:dyDescent="0.25">
      <c r="A3" s="3">
        <v>1</v>
      </c>
      <c r="B3" s="19" t="s">
        <v>88</v>
      </c>
      <c r="C3" s="20" t="s">
        <v>89</v>
      </c>
      <c r="D3" s="3" t="s">
        <v>687</v>
      </c>
      <c r="E3" s="3" t="s">
        <v>24</v>
      </c>
      <c r="F3" s="21">
        <v>41442</v>
      </c>
      <c r="G3" s="3" t="s">
        <v>116</v>
      </c>
      <c r="H3" s="13">
        <v>165000000</v>
      </c>
      <c r="I3" s="13">
        <v>149287516.94999999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46992434.25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72" x14ac:dyDescent="0.25">
      <c r="A8" s="3">
        <v>1</v>
      </c>
      <c r="B8" s="14" t="s">
        <v>45</v>
      </c>
      <c r="C8" s="15" t="str">
        <f>"1/2013-U2"</f>
        <v>1/2013-U2</v>
      </c>
      <c r="D8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8" s="16">
        <v>42156</v>
      </c>
      <c r="F8" s="16"/>
      <c r="G8" s="13">
        <v>452884.28</v>
      </c>
      <c r="H8" s="16"/>
      <c r="I8" s="13">
        <v>452884.28</v>
      </c>
      <c r="J8" s="13">
        <f>I8*1.25</f>
        <v>566105.35000000009</v>
      </c>
      <c r="K8" s="6"/>
    </row>
    <row r="9" spans="1:11" ht="72" x14ac:dyDescent="0.25">
      <c r="A9" s="3">
        <v>2</v>
      </c>
      <c r="B9" s="14" t="s">
        <v>47</v>
      </c>
      <c r="C9" s="15" t="str">
        <f>"126/2015/R"</f>
        <v>126/2015/R</v>
      </c>
      <c r="D9" s="15" t="str">
        <f>CONCATENATE("1. Zajednica ponuditelja: ",CHAR(10),"    COMBIS D.O.O.",CHAR(10),"    SPAN D.O.O.",CHAR(10),"    COMPING D.O.O.",CHAR(10),"    COMBIS D.O.O.")</f>
        <v>1. Zajednica ponuditelja: 
    COMBIS D.O.O.
    SPAN D.O.O.
    COMPING D.O.O.
    COMBIS D.O.O.</v>
      </c>
      <c r="E9" s="16">
        <v>42367</v>
      </c>
      <c r="F9" s="16"/>
      <c r="G9" s="13">
        <v>12068.74</v>
      </c>
      <c r="H9" s="16"/>
      <c r="I9" s="13">
        <v>12036.58</v>
      </c>
      <c r="J9" s="13">
        <f t="shared" ref="J9:J63" si="0">I9*1.25</f>
        <v>15045.725</v>
      </c>
      <c r="K9" s="6"/>
    </row>
    <row r="10" spans="1:11" ht="72" x14ac:dyDescent="0.25">
      <c r="A10" s="3">
        <v>3</v>
      </c>
      <c r="B10" s="14" t="s">
        <v>47</v>
      </c>
      <c r="C10" s="15" t="str">
        <f>"123/2015/R"</f>
        <v>123/2015/R</v>
      </c>
      <c r="D10" s="15" t="str">
        <f>CONCATENATE("1. Zajednica ponuditelja: ",CHAR(10),"    COMBIS D.O.O.",CHAR(10),"    SPAN D.O.O.",CHAR(10),"    COMPING D.O.O.",CHAR(10),"    COMBIS D.O.O.")</f>
        <v>1. Zajednica ponuditelja: 
    COMBIS D.O.O.
    SPAN D.O.O.
    COMPING D.O.O.
    COMBIS D.O.O.</v>
      </c>
      <c r="E10" s="16">
        <v>42359</v>
      </c>
      <c r="F10" s="16"/>
      <c r="G10" s="13">
        <v>3193.52</v>
      </c>
      <c r="H10" s="16"/>
      <c r="I10" s="13">
        <v>3193.52</v>
      </c>
      <c r="J10" s="13">
        <f t="shared" si="0"/>
        <v>3991.9</v>
      </c>
      <c r="K10" s="6"/>
    </row>
    <row r="11" spans="1:11" ht="72" x14ac:dyDescent="0.25">
      <c r="A11" s="3">
        <v>4</v>
      </c>
      <c r="B11" s="14" t="s">
        <v>45</v>
      </c>
      <c r="C11" s="15" t="str">
        <f>"1/2013-U1"</f>
        <v>1/2013-U1</v>
      </c>
      <c r="D11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11" s="16">
        <v>41926</v>
      </c>
      <c r="F11" s="16"/>
      <c r="G11" s="13">
        <v>788844.36</v>
      </c>
      <c r="H11" s="16"/>
      <c r="I11" s="13">
        <v>788844.36</v>
      </c>
      <c r="J11" s="13">
        <f t="shared" si="0"/>
        <v>986055.45</v>
      </c>
      <c r="K11" s="6"/>
    </row>
    <row r="12" spans="1:11" ht="72" x14ac:dyDescent="0.25">
      <c r="A12" s="3">
        <v>5</v>
      </c>
      <c r="B12" s="14" t="s">
        <v>90</v>
      </c>
      <c r="C12" s="15" t="str">
        <f>"U-13-MV/14"</f>
        <v>U-13-MV/14</v>
      </c>
      <c r="D12" s="15" t="str">
        <f>CONCATENATE("1. Zajednica ponuditelja: ",CHAR(10),"    COMPING D.O.O.",CHAR(10),"    SPAN D.O.O.",CHAR(10),"    COMPING D.O.O.",CHAR(10),"    COMBIS D.O.O.")</f>
        <v>1. Zajednica ponuditelja: 
    COMPING D.O.O.
    SPAN D.O.O.
    COMPING D.O.O.
    COMBIS D.O.O.</v>
      </c>
      <c r="E12" s="16">
        <v>41904</v>
      </c>
      <c r="F12" s="16">
        <v>42185</v>
      </c>
      <c r="G12" s="13">
        <v>430270.14</v>
      </c>
      <c r="H12" s="16">
        <v>42185</v>
      </c>
      <c r="I12" s="13">
        <v>415543.83</v>
      </c>
      <c r="J12" s="13">
        <f t="shared" si="0"/>
        <v>519429.78750000003</v>
      </c>
      <c r="K12" s="6"/>
    </row>
    <row r="13" spans="1:11" ht="72" x14ac:dyDescent="0.25">
      <c r="A13" s="3">
        <v>6</v>
      </c>
      <c r="B13" s="14" t="s">
        <v>39</v>
      </c>
      <c r="C13" s="15" t="str">
        <f>"16/15"</f>
        <v>16/15</v>
      </c>
      <c r="D13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13" s="16">
        <v>42176</v>
      </c>
      <c r="F13" s="16">
        <v>42538</v>
      </c>
      <c r="G13" s="13">
        <v>634827.18000000005</v>
      </c>
      <c r="H13" s="16">
        <v>42538</v>
      </c>
      <c r="I13" s="13">
        <v>634827.18000000005</v>
      </c>
      <c r="J13" s="13">
        <f t="shared" si="0"/>
        <v>793533.97500000009</v>
      </c>
      <c r="K13" s="6"/>
    </row>
    <row r="14" spans="1:11" ht="72" x14ac:dyDescent="0.25">
      <c r="A14" s="3">
        <v>7</v>
      </c>
      <c r="B14" s="14" t="s">
        <v>91</v>
      </c>
      <c r="C14" s="15" t="str">
        <f>"U19/14"</f>
        <v>U19/14</v>
      </c>
      <c r="D14" s="15" t="str">
        <f>CONCATENATE("1. Zajednica ponuditelja: ",CHAR(10),"    COMPING D.O.O.",CHAR(10),"    SPAN D.O.O.",CHAR(10),"    COMPING D.O.O.",CHAR(10),"    COMBIS D.O.O.")</f>
        <v>1. Zajednica ponuditelja: 
    COMPING D.O.O.
    SPAN D.O.O.
    COMPING D.O.O.
    COMBIS D.O.O.</v>
      </c>
      <c r="E14" s="16">
        <v>41820</v>
      </c>
      <c r="F14" s="16"/>
      <c r="G14" s="13">
        <v>132968.37</v>
      </c>
      <c r="H14" s="16"/>
      <c r="I14" s="13">
        <v>132968.37</v>
      </c>
      <c r="J14" s="13">
        <f t="shared" si="0"/>
        <v>166210.46249999999</v>
      </c>
      <c r="K14" s="6"/>
    </row>
    <row r="15" spans="1:11" ht="72" x14ac:dyDescent="0.25">
      <c r="A15" s="3">
        <v>8</v>
      </c>
      <c r="B15" s="14" t="s">
        <v>31</v>
      </c>
      <c r="C15" s="15" t="str">
        <f>"U070/15"</f>
        <v>U070/15</v>
      </c>
      <c r="D15" s="15" t="str">
        <f>CONCATENATE("1. Zajednica ponuditelja: ",CHAR(10),"    COMBIS D.O.O.",CHAR(10),"    SPAN D.O.O.",CHAR(10),"    COMPING D.O.O.",CHAR(10),"    COMBIS D.O.O.")</f>
        <v>1. Zajednica ponuditelja: 
    COMBIS D.O.O.
    SPAN D.O.O.
    COMPING D.O.O.
    COMBIS D.O.O.</v>
      </c>
      <c r="E15" s="16">
        <v>42174</v>
      </c>
      <c r="F15" s="16"/>
      <c r="G15" s="13">
        <v>179573.11</v>
      </c>
      <c r="H15" s="16"/>
      <c r="I15" s="13">
        <v>181312.24</v>
      </c>
      <c r="J15" s="13">
        <f t="shared" si="0"/>
        <v>226640.3</v>
      </c>
      <c r="K15" s="6"/>
    </row>
    <row r="16" spans="1:11" ht="72" x14ac:dyDescent="0.25">
      <c r="A16" s="3">
        <v>9</v>
      </c>
      <c r="B16" s="14" t="s">
        <v>30</v>
      </c>
      <c r="C16" s="15" t="str">
        <f>"510/7-C-U-0036/15-21"</f>
        <v>510/7-C-U-0036/15-21</v>
      </c>
      <c r="D16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16" s="16">
        <v>42172</v>
      </c>
      <c r="F16" s="16">
        <v>42538</v>
      </c>
      <c r="G16" s="13">
        <v>232733</v>
      </c>
      <c r="H16" s="16">
        <v>42538</v>
      </c>
      <c r="I16" s="13">
        <v>234825</v>
      </c>
      <c r="J16" s="13">
        <f t="shared" si="0"/>
        <v>293531.25</v>
      </c>
      <c r="K16" s="6"/>
    </row>
    <row r="17" spans="1:11" ht="72" x14ac:dyDescent="0.25">
      <c r="A17" s="3">
        <v>10</v>
      </c>
      <c r="B17" s="14" t="s">
        <v>30</v>
      </c>
      <c r="C17" s="15" t="str">
        <f>"510-C-U-0038/14-21"</f>
        <v>510-C-U-0038/14-21</v>
      </c>
      <c r="D17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17" s="16">
        <v>41981</v>
      </c>
      <c r="F17" s="16">
        <v>42185</v>
      </c>
      <c r="G17" s="13">
        <v>215199</v>
      </c>
      <c r="H17" s="16">
        <v>42185</v>
      </c>
      <c r="I17" s="13">
        <v>215199</v>
      </c>
      <c r="J17" s="13">
        <f t="shared" si="0"/>
        <v>268998.75</v>
      </c>
      <c r="K17" s="6"/>
    </row>
    <row r="18" spans="1:11" ht="72" x14ac:dyDescent="0.25">
      <c r="A18" s="3">
        <v>11</v>
      </c>
      <c r="B18" s="14" t="s">
        <v>37</v>
      </c>
      <c r="C18" s="15" t="str">
        <f>"N229/15"</f>
        <v>N229/15</v>
      </c>
      <c r="D18" s="15" t="str">
        <f>CONCATENATE("1. Zajednica ponuditelja: ",CHAR(10),"    COMBIS D.O.O.",CHAR(10),"    SPAN D.O.O.",CHAR(10),"    COMPING D.O.O.",CHAR(10),"    COMBIS D.O.O.")</f>
        <v>1. Zajednica ponuditelja: 
    COMBIS D.O.O.
    SPAN D.O.O.
    COMPING D.O.O.
    COMBIS D.O.O.</v>
      </c>
      <c r="E18" s="16">
        <v>42186</v>
      </c>
      <c r="F18" s="16"/>
      <c r="G18" s="13">
        <v>149264.14000000001</v>
      </c>
      <c r="H18" s="16"/>
      <c r="I18" s="13">
        <v>149264.14000000001</v>
      </c>
      <c r="J18" s="13">
        <f t="shared" si="0"/>
        <v>186580.17500000002</v>
      </c>
      <c r="K18" s="6"/>
    </row>
    <row r="19" spans="1:11" ht="24" x14ac:dyDescent="0.25">
      <c r="A19" s="3">
        <v>12</v>
      </c>
      <c r="B19" s="14" t="s">
        <v>55</v>
      </c>
      <c r="C19" s="15" t="str">
        <f>"38-17-15-1"</f>
        <v>38-17-15-1</v>
      </c>
      <c r="D19" s="15" t="str">
        <f>CONCATENATE("COMPING D.O.O.")</f>
        <v>COMPING D.O.O.</v>
      </c>
      <c r="E19" s="16">
        <v>42200</v>
      </c>
      <c r="F19" s="16">
        <v>42551</v>
      </c>
      <c r="G19" s="13">
        <v>205055</v>
      </c>
      <c r="H19" s="16">
        <v>42551</v>
      </c>
      <c r="I19" s="13">
        <v>1437048.49</v>
      </c>
      <c r="J19" s="13">
        <f t="shared" si="0"/>
        <v>1796310.6125</v>
      </c>
      <c r="K19" s="6"/>
    </row>
    <row r="20" spans="1:11" ht="36" x14ac:dyDescent="0.25">
      <c r="A20" s="3">
        <v>13</v>
      </c>
      <c r="B20" s="14" t="s">
        <v>92</v>
      </c>
      <c r="C20" s="15" t="str">
        <f>"1/2013-26"</f>
        <v>1/2013-26</v>
      </c>
      <c r="D20" s="15" t="str">
        <f>CONCATENATE("COMPING D.O.O.")</f>
        <v>COMPING D.O.O.</v>
      </c>
      <c r="E20" s="16">
        <v>42199</v>
      </c>
      <c r="F20" s="16">
        <v>42551</v>
      </c>
      <c r="G20" s="13">
        <v>0</v>
      </c>
      <c r="H20" s="16">
        <v>42551</v>
      </c>
      <c r="I20" s="13">
        <v>1166522.4099999999</v>
      </c>
      <c r="J20" s="13">
        <f t="shared" si="0"/>
        <v>1458153.0125</v>
      </c>
      <c r="K20" s="6"/>
    </row>
    <row r="21" spans="1:11" ht="24" x14ac:dyDescent="0.25">
      <c r="A21" s="3">
        <v>14</v>
      </c>
      <c r="B21" s="14" t="s">
        <v>27</v>
      </c>
      <c r="C21" s="15" t="str">
        <f>"1/2013-18"</f>
        <v>1/2013-18</v>
      </c>
      <c r="D21" s="15" t="str">
        <f>CONCATENATE("SPAN D.O.O.")</f>
        <v>SPAN D.O.O.</v>
      </c>
      <c r="E21" s="16">
        <v>42186</v>
      </c>
      <c r="F21" s="16">
        <v>42551</v>
      </c>
      <c r="G21" s="13">
        <v>0</v>
      </c>
      <c r="H21" s="16">
        <v>42551</v>
      </c>
      <c r="I21" s="13">
        <v>18585391.23</v>
      </c>
      <c r="J21" s="13">
        <f t="shared" si="0"/>
        <v>23231739.037500001</v>
      </c>
      <c r="K21" s="6"/>
    </row>
    <row r="22" spans="1:11" x14ac:dyDescent="0.25">
      <c r="A22" s="3">
        <v>15</v>
      </c>
      <c r="B22" s="14" t="s">
        <v>93</v>
      </c>
      <c r="C22" s="15" t="str">
        <f>"1/2013-19"</f>
        <v>1/2013-19</v>
      </c>
      <c r="D22" s="15" t="str">
        <f>CONCATENATE("COMBIS D.O.O.")</f>
        <v>COMBIS D.O.O.</v>
      </c>
      <c r="E22" s="16">
        <v>42186</v>
      </c>
      <c r="F22" s="16">
        <v>42551</v>
      </c>
      <c r="G22" s="13">
        <v>0</v>
      </c>
      <c r="H22" s="16">
        <v>42551</v>
      </c>
      <c r="I22" s="40">
        <v>0</v>
      </c>
      <c r="J22" s="40">
        <f t="shared" si="0"/>
        <v>0</v>
      </c>
      <c r="K22" s="6"/>
    </row>
    <row r="23" spans="1:11" x14ac:dyDescent="0.25">
      <c r="A23" s="3">
        <v>16</v>
      </c>
      <c r="B23" s="14" t="s">
        <v>25</v>
      </c>
      <c r="C23" s="15" t="str">
        <f>"1/2013-20"</f>
        <v>1/2013-20</v>
      </c>
      <c r="D23" s="15" t="str">
        <f>CONCATENATE("COMPING D.O.O.")</f>
        <v>COMPING D.O.O.</v>
      </c>
      <c r="E23" s="16">
        <v>42186</v>
      </c>
      <c r="F23" s="16">
        <v>42551</v>
      </c>
      <c r="G23" s="13">
        <v>0</v>
      </c>
      <c r="H23" s="16">
        <v>42551</v>
      </c>
      <c r="I23" s="13">
        <v>1473998.41</v>
      </c>
      <c r="J23" s="13">
        <f t="shared" si="0"/>
        <v>1842498.0125</v>
      </c>
      <c r="K23" s="6"/>
    </row>
    <row r="24" spans="1:11" ht="24" x14ac:dyDescent="0.25">
      <c r="A24" s="3">
        <v>17</v>
      </c>
      <c r="B24" s="14" t="s">
        <v>94</v>
      </c>
      <c r="C24" s="15" t="str">
        <f>"1/2013-21"</f>
        <v>1/2013-21</v>
      </c>
      <c r="D24" s="15" t="str">
        <f>CONCATENATE("COMPING D.O.O.")</f>
        <v>COMPING D.O.O.</v>
      </c>
      <c r="E24" s="16">
        <v>42186</v>
      </c>
      <c r="F24" s="16">
        <v>42552</v>
      </c>
      <c r="G24" s="13">
        <v>0</v>
      </c>
      <c r="H24" s="16">
        <v>42552</v>
      </c>
      <c r="I24" s="40">
        <v>0</v>
      </c>
      <c r="J24" s="40">
        <f t="shared" si="0"/>
        <v>0</v>
      </c>
      <c r="K24" s="6"/>
    </row>
    <row r="25" spans="1:11" ht="24" x14ac:dyDescent="0.25">
      <c r="A25" s="3">
        <v>18</v>
      </c>
      <c r="B25" s="14" t="s">
        <v>95</v>
      </c>
      <c r="C25" s="15" t="str">
        <f>"1/2013-22"</f>
        <v>1/2013-22</v>
      </c>
      <c r="D25" s="15" t="str">
        <f>CONCATENATE("COMBIS D.O.O.")</f>
        <v>COMBIS D.O.O.</v>
      </c>
      <c r="E25" s="16">
        <v>42186</v>
      </c>
      <c r="F25" s="16">
        <v>42551</v>
      </c>
      <c r="G25" s="13">
        <v>0</v>
      </c>
      <c r="H25" s="16">
        <v>42551</v>
      </c>
      <c r="I25" s="40">
        <v>0</v>
      </c>
      <c r="J25" s="40">
        <f t="shared" si="0"/>
        <v>0</v>
      </c>
      <c r="K25" s="6"/>
    </row>
    <row r="26" spans="1:11" x14ac:dyDescent="0.25">
      <c r="A26" s="3">
        <v>19</v>
      </c>
      <c r="B26" s="14" t="s">
        <v>96</v>
      </c>
      <c r="C26" s="15" t="str">
        <f>"1/2013-16"</f>
        <v>1/2013-16</v>
      </c>
      <c r="D26" s="15" t="str">
        <f>CONCATENATE("COMPING D.O.O.")</f>
        <v>COMPING D.O.O.</v>
      </c>
      <c r="E26" s="16">
        <v>42186</v>
      </c>
      <c r="F26" s="16">
        <v>42551</v>
      </c>
      <c r="G26" s="13">
        <v>329580.26</v>
      </c>
      <c r="H26" s="16">
        <v>42551</v>
      </c>
      <c r="I26" s="13">
        <v>329580.26</v>
      </c>
      <c r="J26" s="13">
        <f t="shared" si="0"/>
        <v>411975.32500000001</v>
      </c>
      <c r="K26" s="6"/>
    </row>
    <row r="27" spans="1:11" ht="72" x14ac:dyDescent="0.25">
      <c r="A27" s="3">
        <v>20</v>
      </c>
      <c r="B27" s="14" t="s">
        <v>50</v>
      </c>
      <c r="C27" s="15" t="str">
        <f>"1/2013-15"</f>
        <v>1/2013-15</v>
      </c>
      <c r="D27" s="15" t="str">
        <f>CONCATENATE("1. Zajednica ponuditelja: ",CHAR(10),"    COMPING D.O.O.",CHAR(10),"    KING ICT D.O.O.",CHAR(10),"    COMBIS D.O.O.",CHAR(10),"    SPAN D.O.O.")</f>
        <v>1. Zajednica ponuditelja: 
    COMPING D.O.O.
    KING ICT D.O.O.
    COMBIS D.O.O.
    SPAN D.O.O.</v>
      </c>
      <c r="E27" s="16">
        <v>42171</v>
      </c>
      <c r="F27" s="16">
        <v>42551</v>
      </c>
      <c r="G27" s="13">
        <v>70583.75</v>
      </c>
      <c r="H27" s="16">
        <v>42551</v>
      </c>
      <c r="I27" s="13">
        <v>70583.75</v>
      </c>
      <c r="J27" s="13">
        <f t="shared" si="0"/>
        <v>88229.6875</v>
      </c>
      <c r="K27" s="6"/>
    </row>
    <row r="28" spans="1:11" ht="24" x14ac:dyDescent="0.25">
      <c r="A28" s="3">
        <v>21</v>
      </c>
      <c r="B28" s="14" t="s">
        <v>47</v>
      </c>
      <c r="C28" s="15" t="str">
        <f>"1/2013-14"</f>
        <v>1/2013-14</v>
      </c>
      <c r="D28" s="15" t="str">
        <f>CONCATENATE("COMBIS D.O.O.")</f>
        <v>COMBIS D.O.O.</v>
      </c>
      <c r="E28" s="16">
        <v>42186</v>
      </c>
      <c r="F28" s="16">
        <v>42551</v>
      </c>
      <c r="G28" s="13">
        <v>0</v>
      </c>
      <c r="H28" s="16">
        <v>42551</v>
      </c>
      <c r="I28" s="13">
        <v>23139.919999999998</v>
      </c>
      <c r="J28" s="13">
        <f t="shared" si="0"/>
        <v>28924.899999999998</v>
      </c>
      <c r="K28" s="6"/>
    </row>
    <row r="29" spans="1:11" x14ac:dyDescent="0.25">
      <c r="A29" s="3">
        <v>22</v>
      </c>
      <c r="B29" s="14" t="s">
        <v>54</v>
      </c>
      <c r="C29" s="15" t="str">
        <f>"1/2013-13"</f>
        <v>1/2013-13</v>
      </c>
      <c r="D29" s="15" t="str">
        <f>CONCATENATE("COMBIS D.O.O.")</f>
        <v>COMBIS D.O.O.</v>
      </c>
      <c r="E29" s="16">
        <v>42173</v>
      </c>
      <c r="F29" s="16">
        <v>42551</v>
      </c>
      <c r="G29" s="13">
        <v>1214997.58</v>
      </c>
      <c r="H29" s="16">
        <v>42551</v>
      </c>
      <c r="I29" s="13">
        <v>1226111</v>
      </c>
      <c r="J29" s="13">
        <f t="shared" si="0"/>
        <v>1532638.75</v>
      </c>
      <c r="K29" s="6"/>
    </row>
    <row r="30" spans="1:11" ht="24" x14ac:dyDescent="0.25">
      <c r="A30" s="3">
        <v>23</v>
      </c>
      <c r="B30" s="14" t="s">
        <v>58</v>
      </c>
      <c r="C30" s="15" t="str">
        <f>"1/2013-12"</f>
        <v>1/2013-12</v>
      </c>
      <c r="D30" s="15" t="str">
        <f>CONCATENATE("COMBIS D.O.O.")</f>
        <v>COMBIS D.O.O.</v>
      </c>
      <c r="E30" s="16">
        <v>42186</v>
      </c>
      <c r="F30" s="16">
        <v>42551</v>
      </c>
      <c r="G30" s="13">
        <v>702775.31</v>
      </c>
      <c r="H30" s="16">
        <v>42551</v>
      </c>
      <c r="I30" s="13">
        <v>702775.31</v>
      </c>
      <c r="J30" s="13">
        <f t="shared" si="0"/>
        <v>878469.13750000007</v>
      </c>
      <c r="K30" s="6"/>
    </row>
    <row r="31" spans="1:11" ht="24" x14ac:dyDescent="0.25">
      <c r="A31" s="3">
        <v>24</v>
      </c>
      <c r="B31" s="14" t="s">
        <v>61</v>
      </c>
      <c r="C31" s="15" t="str">
        <f>"1/2013-9"</f>
        <v>1/2013-9</v>
      </c>
      <c r="D31" s="15" t="str">
        <f>CONCATENATE("COMBIS D.O.O.")</f>
        <v>COMBIS D.O.O.</v>
      </c>
      <c r="E31" s="16">
        <v>42186</v>
      </c>
      <c r="F31" s="16">
        <v>42551</v>
      </c>
      <c r="G31" s="13">
        <v>0</v>
      </c>
      <c r="H31" s="16">
        <v>42551</v>
      </c>
      <c r="I31" s="13">
        <v>208582.64</v>
      </c>
      <c r="J31" s="13">
        <f t="shared" si="0"/>
        <v>260728.30000000002</v>
      </c>
      <c r="K31" s="6"/>
    </row>
    <row r="32" spans="1:11" x14ac:dyDescent="0.25">
      <c r="A32" s="3">
        <v>25</v>
      </c>
      <c r="B32" s="14" t="s">
        <v>33</v>
      </c>
      <c r="C32" s="15" t="str">
        <f>"1/2013-4/1"</f>
        <v>1/2013-4/1</v>
      </c>
      <c r="D32" s="15" t="str">
        <f>CONCATENATE("KING ICT D.O.O.")</f>
        <v>KING ICT D.O.O.</v>
      </c>
      <c r="E32" s="16">
        <v>42186</v>
      </c>
      <c r="F32" s="16">
        <v>42551</v>
      </c>
      <c r="G32" s="13">
        <v>467239</v>
      </c>
      <c r="H32" s="16">
        <v>42551</v>
      </c>
      <c r="I32" s="13">
        <v>4917904.41</v>
      </c>
      <c r="J32" s="13">
        <f t="shared" si="0"/>
        <v>6147380.5125000002</v>
      </c>
      <c r="K32" s="6"/>
    </row>
    <row r="33" spans="1:11" ht="24" x14ac:dyDescent="0.25">
      <c r="A33" s="3">
        <v>26</v>
      </c>
      <c r="B33" s="14" t="s">
        <v>43</v>
      </c>
      <c r="C33" s="15" t="str">
        <f>"1/2013-5/1"</f>
        <v>1/2013-5/1</v>
      </c>
      <c r="D33" s="15" t="str">
        <f>CONCATENATE("KING ICT D.O.O.")</f>
        <v>KING ICT D.O.O.</v>
      </c>
      <c r="E33" s="16">
        <v>42186</v>
      </c>
      <c r="F33" s="16">
        <v>42551</v>
      </c>
      <c r="G33" s="13">
        <v>459818.81</v>
      </c>
      <c r="H33" s="16">
        <v>42551</v>
      </c>
      <c r="I33" s="13">
        <v>457565.9</v>
      </c>
      <c r="J33" s="13">
        <f t="shared" si="0"/>
        <v>571957.375</v>
      </c>
      <c r="K33" s="6"/>
    </row>
    <row r="34" spans="1:11" ht="24" x14ac:dyDescent="0.25">
      <c r="A34" s="3">
        <v>27</v>
      </c>
      <c r="B34" s="14" t="s">
        <v>91</v>
      </c>
      <c r="C34" s="15" t="str">
        <f>"1/2013-6"</f>
        <v>1/2013-6</v>
      </c>
      <c r="D34" s="15" t="str">
        <f>CONCATENATE("COMPING D.O.O.")</f>
        <v>COMPING D.O.O.</v>
      </c>
      <c r="E34" s="16">
        <v>42186</v>
      </c>
      <c r="F34" s="16">
        <v>42551</v>
      </c>
      <c r="G34" s="13">
        <v>0</v>
      </c>
      <c r="H34" s="16">
        <v>42551</v>
      </c>
      <c r="I34" s="13">
        <v>249842.88</v>
      </c>
      <c r="J34" s="13">
        <f t="shared" si="0"/>
        <v>312303.59999999998</v>
      </c>
      <c r="K34" s="6"/>
    </row>
    <row r="35" spans="1:11" x14ac:dyDescent="0.25">
      <c r="A35" s="3">
        <v>28</v>
      </c>
      <c r="B35" s="14" t="s">
        <v>53</v>
      </c>
      <c r="C35" s="15" t="str">
        <f>"1/2013-5"</f>
        <v>1/2013-5</v>
      </c>
      <c r="D35" s="15" t="str">
        <f>CONCATENATE("SPAN D.O.O.")</f>
        <v>SPAN D.O.O.</v>
      </c>
      <c r="E35" s="16">
        <v>42186</v>
      </c>
      <c r="F35" s="16">
        <v>42551</v>
      </c>
      <c r="G35" s="13">
        <v>0</v>
      </c>
      <c r="H35" s="16">
        <v>42551</v>
      </c>
      <c r="I35" s="13">
        <v>292702.82</v>
      </c>
      <c r="J35" s="13">
        <f t="shared" si="0"/>
        <v>365878.52500000002</v>
      </c>
      <c r="K35" s="6"/>
    </row>
    <row r="36" spans="1:11" x14ac:dyDescent="0.25">
      <c r="A36" s="3">
        <v>29</v>
      </c>
      <c r="B36" s="14" t="s">
        <v>35</v>
      </c>
      <c r="C36" s="15" t="str">
        <f>"1/2013-4"</f>
        <v>1/2013-4</v>
      </c>
      <c r="D36" s="15" t="str">
        <f>CONCATENATE("COMBIS D.O.O.")</f>
        <v>COMBIS D.O.O.</v>
      </c>
      <c r="E36" s="16">
        <v>42186</v>
      </c>
      <c r="F36" s="16">
        <v>42551</v>
      </c>
      <c r="G36" s="13">
        <v>0</v>
      </c>
      <c r="H36" s="16">
        <v>42551</v>
      </c>
      <c r="I36" s="13">
        <v>0</v>
      </c>
      <c r="J36" s="13">
        <f t="shared" si="0"/>
        <v>0</v>
      </c>
      <c r="K36" s="6"/>
    </row>
    <row r="37" spans="1:11" ht="24" x14ac:dyDescent="0.25">
      <c r="A37" s="3">
        <v>30</v>
      </c>
      <c r="B37" s="14" t="s">
        <v>81</v>
      </c>
      <c r="C37" s="15" t="str">
        <f>"24/VRHPUTEMUZOPA/2015"</f>
        <v>24/VRHPUTEMUZOPA/2015</v>
      </c>
      <c r="D37" s="15" t="str">
        <f>CONCATENATE("SPAN D.O.O.")</f>
        <v>SPAN D.O.O.</v>
      </c>
      <c r="E37" s="16">
        <v>42186</v>
      </c>
      <c r="F37" s="16">
        <v>42551</v>
      </c>
      <c r="G37" s="13">
        <v>274162.34999999998</v>
      </c>
      <c r="H37" s="16">
        <v>42551</v>
      </c>
      <c r="I37" s="13">
        <v>274162.34999999998</v>
      </c>
      <c r="J37" s="13">
        <f t="shared" si="0"/>
        <v>342702.9375</v>
      </c>
      <c r="K37" s="6"/>
    </row>
    <row r="38" spans="1:11" ht="36" x14ac:dyDescent="0.25">
      <c r="A38" s="3">
        <v>31</v>
      </c>
      <c r="B38" s="14" t="s">
        <v>34</v>
      </c>
      <c r="C38" s="15" t="str">
        <f>"23/UZOP/2015"</f>
        <v>23/UZOP/2015</v>
      </c>
      <c r="D38" s="15" t="str">
        <f>CONCATENATE("SPAN D.O.O.")</f>
        <v>SPAN D.O.O.</v>
      </c>
      <c r="E38" s="16">
        <v>42184</v>
      </c>
      <c r="F38" s="16">
        <v>42551</v>
      </c>
      <c r="G38" s="13">
        <v>77014.559999999998</v>
      </c>
      <c r="H38" s="16">
        <v>42551</v>
      </c>
      <c r="I38" s="13">
        <v>77014.559999999998</v>
      </c>
      <c r="J38" s="13">
        <f t="shared" si="0"/>
        <v>96268.2</v>
      </c>
      <c r="K38" s="6"/>
    </row>
    <row r="39" spans="1:11" ht="24" x14ac:dyDescent="0.25">
      <c r="A39" s="3">
        <v>32</v>
      </c>
      <c r="B39" s="14" t="s">
        <v>82</v>
      </c>
      <c r="C39" s="15" t="str">
        <f>"25/HSPUTEMUZOPA/2015"</f>
        <v>25/HSPUTEMUZOPA/2015</v>
      </c>
      <c r="D39" s="15" t="str">
        <f>CONCATENATE("SPAN D.O.O.")</f>
        <v>SPAN D.O.O.</v>
      </c>
      <c r="E39" s="16">
        <v>42186</v>
      </c>
      <c r="F39" s="16">
        <v>42551</v>
      </c>
      <c r="G39" s="13">
        <v>423942.15</v>
      </c>
      <c r="H39" s="16">
        <v>42551</v>
      </c>
      <c r="I39" s="13">
        <v>423942.15</v>
      </c>
      <c r="J39" s="13">
        <f t="shared" si="0"/>
        <v>529927.6875</v>
      </c>
      <c r="K39" s="6"/>
    </row>
    <row r="40" spans="1:11" ht="72" x14ac:dyDescent="0.25">
      <c r="A40" s="3">
        <v>33</v>
      </c>
      <c r="B40" s="14" t="s">
        <v>59</v>
      </c>
      <c r="C40" s="15" t="str">
        <f>"000327/2015"</f>
        <v>000327/2015</v>
      </c>
      <c r="D40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40" s="16">
        <v>42209</v>
      </c>
      <c r="F40" s="16">
        <v>42551</v>
      </c>
      <c r="G40" s="13">
        <v>436682.15</v>
      </c>
      <c r="H40" s="16">
        <v>42551</v>
      </c>
      <c r="I40" s="13">
        <v>436682.12</v>
      </c>
      <c r="J40" s="13">
        <f t="shared" si="0"/>
        <v>545852.65</v>
      </c>
      <c r="K40" s="6"/>
    </row>
    <row r="41" spans="1:11" ht="72" x14ac:dyDescent="0.25">
      <c r="A41" s="3">
        <v>34</v>
      </c>
      <c r="B41" s="14" t="s">
        <v>97</v>
      </c>
      <c r="C41" s="15" t="str">
        <f>"28/SAL/2015"</f>
        <v>28/SAL/2015</v>
      </c>
      <c r="D41" s="15" t="str">
        <f t="shared" ref="D41:D51" si="1">CONCATENATE("1. Zajednica ponuditelja: ",CHAR(10),"    SPAN D.O.O.",CHAR(10),"    SPAN D.O.O.",CHAR(10),"    COMPING D.O.O.",CHAR(10),"    COMBIS D.O.O.")</f>
        <v>1. Zajednica ponuditelja: 
    SPAN D.O.O.
    SPAN D.O.O.
    COMPING D.O.O.
    COMBIS D.O.O.</v>
      </c>
      <c r="E41" s="16">
        <v>42186</v>
      </c>
      <c r="F41" s="16">
        <v>42551</v>
      </c>
      <c r="G41" s="13">
        <v>6950.2</v>
      </c>
      <c r="H41" s="16">
        <v>42551</v>
      </c>
      <c r="I41" s="13">
        <v>6950.2</v>
      </c>
      <c r="J41" s="13">
        <f t="shared" si="0"/>
        <v>8687.75</v>
      </c>
      <c r="K41" s="6"/>
    </row>
    <row r="42" spans="1:11" ht="72" x14ac:dyDescent="0.25">
      <c r="A42" s="3">
        <v>35</v>
      </c>
      <c r="B42" s="14" t="s">
        <v>98</v>
      </c>
      <c r="C42" s="15" t="str">
        <f>"19/SAL/2015"</f>
        <v>19/SAL/2015</v>
      </c>
      <c r="D42" s="15" t="str">
        <f t="shared" si="1"/>
        <v>1. Zajednica ponuditelja: 
    SPAN D.O.O.
    SPAN D.O.O.
    COMPING D.O.O.
    COMBIS D.O.O.</v>
      </c>
      <c r="E42" s="16">
        <v>42186</v>
      </c>
      <c r="F42" s="16">
        <v>42551</v>
      </c>
      <c r="G42" s="13">
        <v>8108.22</v>
      </c>
      <c r="H42" s="16">
        <v>42551</v>
      </c>
      <c r="I42" s="13">
        <v>8108.22</v>
      </c>
      <c r="J42" s="13">
        <f t="shared" si="0"/>
        <v>10135.275</v>
      </c>
      <c r="K42" s="6"/>
    </row>
    <row r="43" spans="1:11" ht="72" x14ac:dyDescent="0.25">
      <c r="A43" s="3">
        <v>36</v>
      </c>
      <c r="B43" s="14" t="s">
        <v>99</v>
      </c>
      <c r="C43" s="15" t="str">
        <f>"30/SAL/2015"</f>
        <v>30/SAL/2015</v>
      </c>
      <c r="D43" s="15" t="str">
        <f t="shared" si="1"/>
        <v>1. Zajednica ponuditelja: 
    SPAN D.O.O.
    SPAN D.O.O.
    COMPING D.O.O.
    COMBIS D.O.O.</v>
      </c>
      <c r="E43" s="16">
        <v>42186</v>
      </c>
      <c r="F43" s="16">
        <v>42551</v>
      </c>
      <c r="G43" s="13">
        <v>13585.98</v>
      </c>
      <c r="H43" s="16">
        <v>42551</v>
      </c>
      <c r="I43" s="13">
        <v>13585.98</v>
      </c>
      <c r="J43" s="13">
        <f t="shared" si="0"/>
        <v>16982.474999999999</v>
      </c>
      <c r="K43" s="6"/>
    </row>
    <row r="44" spans="1:11" ht="72" x14ac:dyDescent="0.25">
      <c r="A44" s="3">
        <v>37</v>
      </c>
      <c r="B44" s="14" t="s">
        <v>100</v>
      </c>
      <c r="C44" s="15" t="str">
        <f>"25/SAL/2015"</f>
        <v>25/SAL/2015</v>
      </c>
      <c r="D44" s="15" t="str">
        <f t="shared" si="1"/>
        <v>1. Zajednica ponuditelja: 
    SPAN D.O.O.
    SPAN D.O.O.
    COMPING D.O.O.
    COMBIS D.O.O.</v>
      </c>
      <c r="E44" s="16">
        <v>42186</v>
      </c>
      <c r="F44" s="16">
        <v>42551</v>
      </c>
      <c r="G44" s="13">
        <v>5450.68</v>
      </c>
      <c r="H44" s="16">
        <v>42551</v>
      </c>
      <c r="I44" s="13">
        <v>5450.68</v>
      </c>
      <c r="J44" s="13">
        <f t="shared" si="0"/>
        <v>6813.35</v>
      </c>
      <c r="K44" s="6"/>
    </row>
    <row r="45" spans="1:11" ht="72" x14ac:dyDescent="0.25">
      <c r="A45" s="3">
        <v>38</v>
      </c>
      <c r="B45" s="14" t="s">
        <v>101</v>
      </c>
      <c r="C45" s="15" t="str">
        <f>"31/SAL/2015"</f>
        <v>31/SAL/2015</v>
      </c>
      <c r="D45" s="15" t="str">
        <f t="shared" si="1"/>
        <v>1. Zajednica ponuditelja: 
    SPAN D.O.O.
    SPAN D.O.O.
    COMPING D.O.O.
    COMBIS D.O.O.</v>
      </c>
      <c r="E45" s="16">
        <v>42186</v>
      </c>
      <c r="F45" s="16">
        <v>42551</v>
      </c>
      <c r="G45" s="13">
        <v>5450.68</v>
      </c>
      <c r="H45" s="16">
        <v>42551</v>
      </c>
      <c r="I45" s="13">
        <v>5450.68</v>
      </c>
      <c r="J45" s="13">
        <f t="shared" si="0"/>
        <v>6813.35</v>
      </c>
      <c r="K45" s="6"/>
    </row>
    <row r="46" spans="1:11" ht="72" x14ac:dyDescent="0.25">
      <c r="A46" s="3">
        <v>39</v>
      </c>
      <c r="B46" s="14" t="s">
        <v>102</v>
      </c>
      <c r="C46" s="15" t="str">
        <f>"22/SAL/2015"</f>
        <v>22/SAL/2015</v>
      </c>
      <c r="D46" s="15" t="str">
        <f t="shared" si="1"/>
        <v>1. Zajednica ponuditelja: 
    SPAN D.O.O.
    SPAN D.O.O.
    COMPING D.O.O.
    COMBIS D.O.O.</v>
      </c>
      <c r="E46" s="16">
        <v>42186</v>
      </c>
      <c r="F46" s="16">
        <v>42551</v>
      </c>
      <c r="G46" s="13">
        <v>4132.41</v>
      </c>
      <c r="H46" s="16">
        <v>42551</v>
      </c>
      <c r="I46" s="13">
        <v>4132.41</v>
      </c>
      <c r="J46" s="13">
        <f t="shared" si="0"/>
        <v>5165.5124999999998</v>
      </c>
      <c r="K46" s="6"/>
    </row>
    <row r="47" spans="1:11" ht="72" x14ac:dyDescent="0.25">
      <c r="A47" s="3">
        <v>40</v>
      </c>
      <c r="B47" s="14" t="s">
        <v>103</v>
      </c>
      <c r="C47" s="15" t="str">
        <f>"27/SAL/2015"</f>
        <v>27/SAL/2015</v>
      </c>
      <c r="D47" s="15" t="str">
        <f t="shared" si="1"/>
        <v>1. Zajednica ponuditelja: 
    SPAN D.O.O.
    SPAN D.O.O.
    COMPING D.O.O.
    COMBIS D.O.O.</v>
      </c>
      <c r="E47" s="16">
        <v>42186</v>
      </c>
      <c r="F47" s="16">
        <v>42551</v>
      </c>
      <c r="G47" s="13">
        <v>5450.68</v>
      </c>
      <c r="H47" s="16">
        <v>42551</v>
      </c>
      <c r="I47" s="13">
        <v>5450.68</v>
      </c>
      <c r="J47" s="13">
        <f t="shared" si="0"/>
        <v>6813.35</v>
      </c>
      <c r="K47" s="6"/>
    </row>
    <row r="48" spans="1:11" ht="72" x14ac:dyDescent="0.25">
      <c r="A48" s="3">
        <v>41</v>
      </c>
      <c r="B48" s="14" t="s">
        <v>104</v>
      </c>
      <c r="C48" s="15" t="str">
        <f>"32/SAL/2015"</f>
        <v>32/SAL/2015</v>
      </c>
      <c r="D48" s="15" t="str">
        <f t="shared" si="1"/>
        <v>1. Zajednica ponuditelja: 
    SPAN D.O.O.
    SPAN D.O.O.
    COMPING D.O.O.
    COMBIS D.O.O.</v>
      </c>
      <c r="E48" s="16">
        <v>42186</v>
      </c>
      <c r="F48" s="16">
        <v>42551</v>
      </c>
      <c r="G48" s="13">
        <v>6813.35</v>
      </c>
      <c r="H48" s="16">
        <v>42551</v>
      </c>
      <c r="I48" s="13">
        <v>6813.35</v>
      </c>
      <c r="J48" s="13">
        <f t="shared" si="0"/>
        <v>8516.6875</v>
      </c>
      <c r="K48" s="6"/>
    </row>
    <row r="49" spans="1:11" ht="72" x14ac:dyDescent="0.25">
      <c r="A49" s="3">
        <v>42</v>
      </c>
      <c r="B49" s="14" t="s">
        <v>105</v>
      </c>
      <c r="C49" s="15" t="str">
        <f>"24/SAL/2015"</f>
        <v>24/SAL/2015</v>
      </c>
      <c r="D49" s="15" t="str">
        <f t="shared" si="1"/>
        <v>1. Zajednica ponuditelja: 
    SPAN D.O.O.
    SPAN D.O.O.
    COMPING D.O.O.
    COMBIS D.O.O.</v>
      </c>
      <c r="E49" s="16">
        <v>42186</v>
      </c>
      <c r="F49" s="16">
        <v>42551</v>
      </c>
      <c r="G49" s="13">
        <v>24372.080000000002</v>
      </c>
      <c r="H49" s="16">
        <v>42551</v>
      </c>
      <c r="I49" s="13">
        <v>24372.080000000002</v>
      </c>
      <c r="J49" s="13">
        <f t="shared" si="0"/>
        <v>30465.100000000002</v>
      </c>
      <c r="K49" s="6"/>
    </row>
    <row r="50" spans="1:11" ht="72" x14ac:dyDescent="0.25">
      <c r="A50" s="3">
        <v>43</v>
      </c>
      <c r="B50" s="14" t="s">
        <v>106</v>
      </c>
      <c r="C50" s="15" t="str">
        <f>"21/SAL/2015"</f>
        <v>21/SAL/2015</v>
      </c>
      <c r="D50" s="15" t="str">
        <f t="shared" si="1"/>
        <v>1. Zajednica ponuditelja: 
    SPAN D.O.O.
    SPAN D.O.O.
    COMPING D.O.O.
    COMBIS D.O.O.</v>
      </c>
      <c r="E50" s="16">
        <v>42186</v>
      </c>
      <c r="F50" s="16">
        <v>42551</v>
      </c>
      <c r="G50" s="13">
        <v>12243.67</v>
      </c>
      <c r="H50" s="16">
        <v>42551</v>
      </c>
      <c r="I50" s="13">
        <v>12243.67</v>
      </c>
      <c r="J50" s="13">
        <f t="shared" si="0"/>
        <v>15304.5875</v>
      </c>
      <c r="K50" s="6"/>
    </row>
    <row r="51" spans="1:11" ht="72" x14ac:dyDescent="0.25">
      <c r="A51" s="3">
        <v>44</v>
      </c>
      <c r="B51" s="14" t="s">
        <v>107</v>
      </c>
      <c r="C51" s="15" t="str">
        <f>"26/SAL/2015"</f>
        <v>26/SAL/2015</v>
      </c>
      <c r="D51" s="15" t="str">
        <f t="shared" si="1"/>
        <v>1. Zajednica ponuditelja: 
    SPAN D.O.O.
    SPAN D.O.O.
    COMPING D.O.O.
    COMBIS D.O.O.</v>
      </c>
      <c r="E51" s="16">
        <v>42186</v>
      </c>
      <c r="F51" s="16">
        <v>42551</v>
      </c>
      <c r="G51" s="13">
        <v>4088.01</v>
      </c>
      <c r="H51" s="16">
        <v>42551</v>
      </c>
      <c r="I51" s="13">
        <v>4088.01</v>
      </c>
      <c r="J51" s="13">
        <f t="shared" si="0"/>
        <v>5110.0125000000007</v>
      </c>
      <c r="K51" s="6"/>
    </row>
    <row r="52" spans="1:11" ht="72" x14ac:dyDescent="0.25">
      <c r="A52" s="3">
        <v>45</v>
      </c>
      <c r="B52" s="14" t="s">
        <v>28</v>
      </c>
      <c r="C52" s="15" t="str">
        <f>"MGPU 1/2013"</f>
        <v>MGPU 1/2013</v>
      </c>
      <c r="D52" s="15" t="str">
        <f>CONCATENATE("1. Zajednica ponuditelja: ",CHAR(10),"    COMBIS D.O.O.",CHAR(10),"    SPAN D.O.O.",CHAR(10),"    COMPING D.O.O.",CHAR(10),"    COMBIS D.O.O.")</f>
        <v>1. Zajednica ponuditelja: 
    COMBIS D.O.O.
    SPAN D.O.O.
    COMPING D.O.O.
    COMBIS D.O.O.</v>
      </c>
      <c r="E52" s="16">
        <v>42186</v>
      </c>
      <c r="F52" s="16">
        <v>42551</v>
      </c>
      <c r="G52" s="13">
        <v>688648.65</v>
      </c>
      <c r="H52" s="16">
        <v>42551</v>
      </c>
      <c r="I52" s="13">
        <v>708057.33</v>
      </c>
      <c r="J52" s="13">
        <f t="shared" si="0"/>
        <v>885071.66249999998</v>
      </c>
      <c r="K52" s="6"/>
    </row>
    <row r="53" spans="1:11" ht="72" x14ac:dyDescent="0.25">
      <c r="A53" s="3">
        <v>46</v>
      </c>
      <c r="B53" s="14" t="s">
        <v>51</v>
      </c>
      <c r="C53" s="15" t="str">
        <f>"BRIII-1/2013"</f>
        <v>BRIII-1/2013</v>
      </c>
      <c r="D53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53" s="16">
        <v>42185</v>
      </c>
      <c r="F53" s="16">
        <v>42551</v>
      </c>
      <c r="G53" s="13">
        <v>1163000.1000000001</v>
      </c>
      <c r="H53" s="16">
        <v>42551</v>
      </c>
      <c r="I53" s="13">
        <v>1163000.1000000001</v>
      </c>
      <c r="J53" s="13">
        <f t="shared" si="0"/>
        <v>1453750.125</v>
      </c>
      <c r="K53" s="6"/>
    </row>
    <row r="54" spans="1:11" x14ac:dyDescent="0.25">
      <c r="A54" s="3">
        <v>47</v>
      </c>
      <c r="B54" s="14" t="s">
        <v>36</v>
      </c>
      <c r="C54" s="15" t="str">
        <f>"1/2013-33"</f>
        <v>1/2013-33</v>
      </c>
      <c r="D54" s="15" t="str">
        <f>CONCATENATE("COMPING D.O.O.")</f>
        <v>COMPING D.O.O.</v>
      </c>
      <c r="E54" s="16">
        <v>42176</v>
      </c>
      <c r="F54" s="16">
        <v>42542</v>
      </c>
      <c r="G54" s="13">
        <v>0</v>
      </c>
      <c r="H54" s="16">
        <v>42542</v>
      </c>
      <c r="I54" s="13">
        <v>647495.17000000004</v>
      </c>
      <c r="J54" s="13">
        <f t="shared" si="0"/>
        <v>809368.96250000002</v>
      </c>
      <c r="K54" s="6"/>
    </row>
    <row r="55" spans="1:11" ht="24" x14ac:dyDescent="0.25">
      <c r="A55" s="3">
        <v>48</v>
      </c>
      <c r="B55" s="14" t="s">
        <v>62</v>
      </c>
      <c r="C55" s="15" t="str">
        <f>"1/2013-30"</f>
        <v>1/2013-30</v>
      </c>
      <c r="D55" s="15" t="str">
        <f>CONCATENATE("COMPING D.O.O.")</f>
        <v>COMPING D.O.O.</v>
      </c>
      <c r="E55" s="16">
        <v>42173</v>
      </c>
      <c r="F55" s="16">
        <v>42551</v>
      </c>
      <c r="G55" s="13">
        <v>0</v>
      </c>
      <c r="H55" s="16">
        <v>42551</v>
      </c>
      <c r="I55" s="13">
        <v>1488369.36</v>
      </c>
      <c r="J55" s="13">
        <f t="shared" si="0"/>
        <v>1860461.7000000002</v>
      </c>
      <c r="K55" s="6"/>
    </row>
    <row r="56" spans="1:11" ht="24" x14ac:dyDescent="0.25">
      <c r="A56" s="3">
        <v>49</v>
      </c>
      <c r="B56" s="14" t="s">
        <v>48</v>
      </c>
      <c r="C56" s="15" t="str">
        <f>"1/2013-29"</f>
        <v>1/2013-29</v>
      </c>
      <c r="D56" s="15" t="str">
        <f>CONCATENATE("COMPING D.O.O.")</f>
        <v>COMPING D.O.O.</v>
      </c>
      <c r="E56" s="16">
        <v>42172</v>
      </c>
      <c r="F56" s="16">
        <v>42537</v>
      </c>
      <c r="G56" s="13">
        <v>0</v>
      </c>
      <c r="H56" s="16">
        <v>42537</v>
      </c>
      <c r="I56" s="13">
        <v>197515.88</v>
      </c>
      <c r="J56" s="13">
        <f t="shared" si="0"/>
        <v>246894.85</v>
      </c>
      <c r="K56" s="6"/>
    </row>
    <row r="57" spans="1:11" ht="24" x14ac:dyDescent="0.25">
      <c r="A57" s="3">
        <v>50</v>
      </c>
      <c r="B57" s="14" t="s">
        <v>108</v>
      </c>
      <c r="C57" s="15" t="str">
        <f>"1/2013-25"</f>
        <v>1/2013-25</v>
      </c>
      <c r="D57" s="15" t="str">
        <f>CONCATENATE("COMPING D.O.O.")</f>
        <v>COMPING D.O.O.</v>
      </c>
      <c r="E57" s="16">
        <v>42165</v>
      </c>
      <c r="F57" s="16">
        <v>42551</v>
      </c>
      <c r="G57" s="13">
        <v>0</v>
      </c>
      <c r="H57" s="16">
        <v>42551</v>
      </c>
      <c r="I57" s="47">
        <v>4916606.1500000004</v>
      </c>
      <c r="J57" s="47">
        <f t="shared" si="0"/>
        <v>6145757.6875</v>
      </c>
      <c r="K57" s="6"/>
    </row>
    <row r="58" spans="1:11" ht="72" x14ac:dyDescent="0.25">
      <c r="A58" s="3">
        <v>51</v>
      </c>
      <c r="B58" s="14" t="s">
        <v>58</v>
      </c>
      <c r="C58" s="15" t="str">
        <f>"4500009873"</f>
        <v>4500009873</v>
      </c>
      <c r="D58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58" s="16">
        <v>42478</v>
      </c>
      <c r="F58" s="16">
        <v>42205</v>
      </c>
      <c r="G58" s="13">
        <v>39760.400000000001</v>
      </c>
      <c r="H58" s="16">
        <v>42205</v>
      </c>
      <c r="I58" s="13">
        <v>39760.400000000001</v>
      </c>
      <c r="J58" s="13">
        <f t="shared" si="0"/>
        <v>49700.5</v>
      </c>
      <c r="K58" s="6"/>
    </row>
    <row r="59" spans="1:11" ht="72" x14ac:dyDescent="0.25">
      <c r="A59" s="3">
        <v>52</v>
      </c>
      <c r="B59" s="14" t="s">
        <v>52</v>
      </c>
      <c r="C59" s="15" t="str">
        <f>"1/2013-DUSJN"</f>
        <v>1/2013-DUSJN</v>
      </c>
      <c r="D59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59" s="16">
        <v>42005</v>
      </c>
      <c r="F59" s="16">
        <v>42369</v>
      </c>
      <c r="G59" s="13">
        <v>38478.78</v>
      </c>
      <c r="H59" s="16">
        <v>42369</v>
      </c>
      <c r="I59" s="13">
        <v>38478.78</v>
      </c>
      <c r="J59" s="13">
        <f t="shared" si="0"/>
        <v>48098.474999999999</v>
      </c>
      <c r="K59" s="6"/>
    </row>
    <row r="60" spans="1:11" ht="72" x14ac:dyDescent="0.25">
      <c r="A60" s="3">
        <v>53</v>
      </c>
      <c r="B60" s="14" t="s">
        <v>81</v>
      </c>
      <c r="C60" s="15" t="str">
        <f>"36/VRHPUTEMUZOPA/2014"</f>
        <v>36/VRHPUTEMUZOPA/2014</v>
      </c>
      <c r="D60" s="15" t="str">
        <f>CONCATENATE("1. Zajednica ponuditelja: ",CHAR(10),"    SPAN D.O.O.",CHAR(10),"    SPAN D.O.O.",CHAR(10),"    COMPING D.O.O.",CHAR(10),"    COMBIS D.O.O.")</f>
        <v>1. Zajednica ponuditelja: 
    SPAN D.O.O.
    SPAN D.O.O.
    COMPING D.O.O.
    COMBIS D.O.O.</v>
      </c>
      <c r="E60" s="16">
        <v>41820</v>
      </c>
      <c r="F60" s="16">
        <v>42185</v>
      </c>
      <c r="G60" s="13">
        <v>198869.91</v>
      </c>
      <c r="H60" s="16">
        <v>42185</v>
      </c>
      <c r="I60" s="13">
        <v>198869.91</v>
      </c>
      <c r="J60" s="13">
        <f t="shared" si="0"/>
        <v>248587.38750000001</v>
      </c>
      <c r="K60" s="6"/>
    </row>
    <row r="61" spans="1:11" ht="72" x14ac:dyDescent="0.25">
      <c r="A61" s="3">
        <v>54</v>
      </c>
      <c r="B61" s="14" t="s">
        <v>82</v>
      </c>
      <c r="C61" s="15" t="str">
        <f>"35/HSPUTEMUZOPA/2014"</f>
        <v>35/HSPUTEMUZOPA/2014</v>
      </c>
      <c r="D61" s="15" t="str">
        <f>CONCATENATE("1. Zajednica ponuditelja: ",CHAR(10),"    SPAN D.O.O.",CHAR(10),"    SPAN D.O.O.",CHAR(10),"    COMPING D.O.O.",CHAR(10),"    COMBIS D.O.O.")</f>
        <v>1. Zajednica ponuditelja: 
    SPAN D.O.O.
    SPAN D.O.O.
    COMPING D.O.O.
    COMBIS D.O.O.</v>
      </c>
      <c r="E61" s="16">
        <v>41821</v>
      </c>
      <c r="F61" s="16">
        <v>42185</v>
      </c>
      <c r="G61" s="13">
        <v>336387.96</v>
      </c>
      <c r="H61" s="16">
        <v>42185</v>
      </c>
      <c r="I61" s="13">
        <v>336387.96</v>
      </c>
      <c r="J61" s="13">
        <f t="shared" si="0"/>
        <v>420484.95</v>
      </c>
      <c r="K61" s="6"/>
    </row>
    <row r="62" spans="1:11" ht="72" x14ac:dyDescent="0.25">
      <c r="A62" s="3">
        <v>55</v>
      </c>
      <c r="B62" s="14" t="s">
        <v>34</v>
      </c>
      <c r="C62" s="15" t="str">
        <f>"34/UZOP/2014"</f>
        <v>34/UZOP/2014</v>
      </c>
      <c r="D62" s="15" t="str">
        <f>CONCATENATE("1. Zajednica ponuditelja: ",CHAR(10),"    SPAN D.O.O.",CHAR(10),"    SPAN D.O.O.",CHAR(10),"    COMPING D.O.O.",CHAR(10),"    COMBIS D.O.O.")</f>
        <v>1. Zajednica ponuditelja: 
    SPAN D.O.O.
    SPAN D.O.O.
    COMPING D.O.O.
    COMBIS D.O.O.</v>
      </c>
      <c r="E62" s="16">
        <v>41821</v>
      </c>
      <c r="F62" s="16">
        <v>42185</v>
      </c>
      <c r="G62" s="13">
        <v>63480.959999999999</v>
      </c>
      <c r="H62" s="16">
        <v>42185</v>
      </c>
      <c r="I62" s="13">
        <v>63480.959999999999</v>
      </c>
      <c r="J62" s="13">
        <f t="shared" si="0"/>
        <v>79351.199999999997</v>
      </c>
      <c r="K62" s="6"/>
    </row>
    <row r="63" spans="1:11" ht="72" x14ac:dyDescent="0.25">
      <c r="A63" s="3">
        <v>56</v>
      </c>
      <c r="B63" s="14" t="s">
        <v>39</v>
      </c>
      <c r="C63" s="15" t="str">
        <f>"87/14"</f>
        <v>87/14</v>
      </c>
      <c r="D63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63" s="16">
        <v>41954</v>
      </c>
      <c r="F63" s="16">
        <v>42175</v>
      </c>
      <c r="G63" s="13">
        <v>1523317.18</v>
      </c>
      <c r="H63" s="16">
        <v>42175</v>
      </c>
      <c r="I63" s="13">
        <v>1523317.18</v>
      </c>
      <c r="J63" s="13">
        <f t="shared" si="0"/>
        <v>1904146.4749999999</v>
      </c>
      <c r="K63" s="6"/>
    </row>
    <row r="64" spans="1:11" ht="7.5" customHeight="1" x14ac:dyDescent="0.25"/>
    <row r="65" spans="1:11" ht="42" customHeight="1" x14ac:dyDescent="0.25">
      <c r="A65" s="1" t="s">
        <v>0</v>
      </c>
      <c r="B65" s="2" t="s">
        <v>1</v>
      </c>
      <c r="C65" s="2" t="s">
        <v>6</v>
      </c>
      <c r="D65" s="2" t="s">
        <v>2</v>
      </c>
      <c r="E65" s="2" t="s">
        <v>3</v>
      </c>
      <c r="F65" s="2" t="s">
        <v>7</v>
      </c>
      <c r="G65" s="2" t="s">
        <v>8</v>
      </c>
      <c r="H65" s="2" t="s">
        <v>4</v>
      </c>
      <c r="I65" s="2" t="s">
        <v>5</v>
      </c>
    </row>
    <row r="66" spans="1:11" ht="36" x14ac:dyDescent="0.25">
      <c r="A66" s="3">
        <v>1</v>
      </c>
      <c r="B66" s="19" t="s">
        <v>88</v>
      </c>
      <c r="C66" s="20" t="s">
        <v>109</v>
      </c>
      <c r="D66" s="3" t="s">
        <v>702</v>
      </c>
      <c r="E66" s="3" t="s">
        <v>24</v>
      </c>
      <c r="F66" s="21">
        <v>41981</v>
      </c>
      <c r="G66" s="3" t="s">
        <v>659</v>
      </c>
      <c r="H66" s="13">
        <v>13000000</v>
      </c>
      <c r="I66" s="13">
        <v>12944288.92</v>
      </c>
    </row>
    <row r="67" spans="1:11" x14ac:dyDescent="0.25">
      <c r="A67" s="42" t="s">
        <v>706</v>
      </c>
      <c r="B67" s="43"/>
      <c r="C67" s="43"/>
      <c r="D67" s="43"/>
      <c r="E67" s="43"/>
      <c r="F67" s="43"/>
      <c r="G67" s="43"/>
      <c r="H67" s="44"/>
      <c r="I67" s="13">
        <v>5804156.4199999999</v>
      </c>
    </row>
    <row r="68" spans="1:11" ht="7.5" customHeight="1" x14ac:dyDescent="0.25"/>
    <row r="69" spans="1:11" x14ac:dyDescent="0.25">
      <c r="A69" s="46" t="s">
        <v>20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63.75" customHeight="1" x14ac:dyDescent="0.25">
      <c r="A70" s="4" t="s">
        <v>0</v>
      </c>
      <c r="B70" s="5" t="s">
        <v>10</v>
      </c>
      <c r="C70" s="5" t="s">
        <v>9</v>
      </c>
      <c r="D70" s="5" t="s">
        <v>13</v>
      </c>
      <c r="E70" s="5" t="s">
        <v>12</v>
      </c>
      <c r="F70" s="5" t="s">
        <v>11</v>
      </c>
      <c r="G70" s="5" t="s">
        <v>18</v>
      </c>
      <c r="H70" s="5" t="s">
        <v>14</v>
      </c>
      <c r="I70" s="5" t="s">
        <v>15</v>
      </c>
      <c r="J70" s="5" t="s">
        <v>16</v>
      </c>
      <c r="K70" s="5" t="s">
        <v>17</v>
      </c>
    </row>
    <row r="71" spans="1:11" ht="72" x14ac:dyDescent="0.25">
      <c r="A71" s="3">
        <v>1</v>
      </c>
      <c r="B71" s="14" t="s">
        <v>30</v>
      </c>
      <c r="C71" s="15" t="str">
        <f>"510-C-U-0040/14-21"</f>
        <v>510-C-U-0040/14-21</v>
      </c>
      <c r="D71" s="15" t="str">
        <f>CONCATENATE("1. Zajednica ponuditelja: ",CHAR(10),"    KING ICT D.O.O.",CHAR(10),"    COMPING D.O.O.",CHAR(10),"    SPAN D.O.O.",CHAR(10),"    COMBIS D.O.O.")</f>
        <v>1. Zajednica ponuditelja: 
    KING ICT D.O.O.
    COMPING D.O.O.
    SPAN D.O.O.
    COMBIS D.O.O.</v>
      </c>
      <c r="E71" s="16">
        <v>41983</v>
      </c>
      <c r="F71" s="16">
        <v>42348</v>
      </c>
      <c r="G71" s="13">
        <v>84825</v>
      </c>
      <c r="H71" s="16">
        <v>42348</v>
      </c>
      <c r="I71" s="13">
        <v>84825</v>
      </c>
      <c r="J71" s="13">
        <f>I71*1.25</f>
        <v>106031.25</v>
      </c>
      <c r="K71" s="6"/>
    </row>
    <row r="72" spans="1:11" ht="72" x14ac:dyDescent="0.25">
      <c r="A72" s="3">
        <v>2</v>
      </c>
      <c r="B72" s="14" t="s">
        <v>59</v>
      </c>
      <c r="C72" s="15" t="str">
        <f>"000489/2015"</f>
        <v>000489/2015</v>
      </c>
      <c r="D72" s="15" t="str">
        <f>CONCATENATE("1. Zajednica ponuditelja: ",CHAR(10),"    KING ICT D.O.O.",CHAR(10),"    SPAN D.O.O.",CHAR(10),"    COMPING D.O.O.",CHAR(10),"    COMBIS D.O.O.")</f>
        <v>1. Zajednica ponuditelja: 
    KING ICT D.O.O.
    SPAN D.O.O.
    COMPING D.O.O.
    COMBIS D.O.O.</v>
      </c>
      <c r="E72" s="16">
        <v>42310</v>
      </c>
      <c r="F72" s="16"/>
      <c r="G72" s="13">
        <v>45000</v>
      </c>
      <c r="H72" s="16"/>
      <c r="I72" s="13">
        <v>45000</v>
      </c>
      <c r="J72" s="13">
        <f t="shared" ref="J72:J81" si="2">I72*1.25</f>
        <v>56250</v>
      </c>
      <c r="K72" s="6"/>
    </row>
    <row r="73" spans="1:11" x14ac:dyDescent="0.25">
      <c r="A73" s="3">
        <v>3</v>
      </c>
      <c r="B73" s="14" t="s">
        <v>49</v>
      </c>
      <c r="C73" s="15" t="str">
        <f>"UG 64/2015"</f>
        <v>UG 64/2015</v>
      </c>
      <c r="D73" s="15" t="str">
        <f>CONCATENATE("KING ICT D.O.O.")</f>
        <v>KING ICT D.O.O.</v>
      </c>
      <c r="E73" s="16">
        <v>42150</v>
      </c>
      <c r="F73" s="16"/>
      <c r="G73" s="13">
        <v>144179.65</v>
      </c>
      <c r="H73" s="16"/>
      <c r="I73" s="13">
        <v>144179.65</v>
      </c>
      <c r="J73" s="13">
        <f t="shared" si="2"/>
        <v>180224.5625</v>
      </c>
      <c r="K73" s="6"/>
    </row>
    <row r="74" spans="1:11" ht="24" x14ac:dyDescent="0.25">
      <c r="A74" s="3">
        <v>4</v>
      </c>
      <c r="B74" s="14" t="s">
        <v>55</v>
      </c>
      <c r="C74" s="15" t="str">
        <f>"O-15/2289"</f>
        <v>O-15/2289</v>
      </c>
      <c r="D74" s="15" t="str">
        <f>CONCATENATE("KING ICT D.O.O.")</f>
        <v>KING ICT D.O.O.</v>
      </c>
      <c r="E74" s="16">
        <v>42348</v>
      </c>
      <c r="F74" s="16">
        <v>42354</v>
      </c>
      <c r="G74" s="13">
        <v>55440</v>
      </c>
      <c r="H74" s="16">
        <v>42354</v>
      </c>
      <c r="I74" s="13">
        <v>55440</v>
      </c>
      <c r="J74" s="13">
        <f t="shared" si="2"/>
        <v>69300</v>
      </c>
      <c r="K74" s="6"/>
    </row>
    <row r="75" spans="1:11" ht="24" x14ac:dyDescent="0.25">
      <c r="A75" s="3">
        <v>5</v>
      </c>
      <c r="B75" s="14" t="s">
        <v>62</v>
      </c>
      <c r="C75" s="15" t="str">
        <f>"030-01/15-01/72"</f>
        <v>030-01/15-01/72</v>
      </c>
      <c r="D75" s="15" t="str">
        <f>CONCATENATE("KING ICT D.O.O.")</f>
        <v>KING ICT D.O.O.</v>
      </c>
      <c r="E75" s="16">
        <v>42426</v>
      </c>
      <c r="F75" s="16"/>
      <c r="G75" s="13">
        <v>351412.1</v>
      </c>
      <c r="H75" s="16"/>
      <c r="I75" s="13">
        <v>351431</v>
      </c>
      <c r="J75" s="13">
        <f t="shared" si="2"/>
        <v>439288.75</v>
      </c>
      <c r="K75" s="6"/>
    </row>
    <row r="76" spans="1:11" x14ac:dyDescent="0.25">
      <c r="A76" s="3">
        <v>6</v>
      </c>
      <c r="B76" s="14" t="s">
        <v>54</v>
      </c>
      <c r="C76" s="15" t="str">
        <f>"1/2014-1"</f>
        <v>1/2014-1</v>
      </c>
      <c r="D76" s="15" t="str">
        <f>CONCATENATE("KING ICT D.O.O.")</f>
        <v>KING ICT D.O.O.</v>
      </c>
      <c r="E76" s="16">
        <v>42139</v>
      </c>
      <c r="F76" s="16">
        <v>42551</v>
      </c>
      <c r="G76" s="13">
        <v>13074.82</v>
      </c>
      <c r="H76" s="16">
        <v>42551</v>
      </c>
      <c r="I76" s="13">
        <v>13203.56</v>
      </c>
      <c r="J76" s="13">
        <f t="shared" si="2"/>
        <v>16504.45</v>
      </c>
      <c r="K76" s="6"/>
    </row>
    <row r="77" spans="1:11" x14ac:dyDescent="0.25">
      <c r="A77" s="3">
        <v>7</v>
      </c>
      <c r="B77" s="14" t="s">
        <v>90</v>
      </c>
      <c r="C77" s="15" t="str">
        <f>"U-5-MV/15"</f>
        <v>U-5-MV/15</v>
      </c>
      <c r="D77" s="15" t="str">
        <f>CONCATENATE("COMPING D.O.O.")</f>
        <v>COMPING D.O.O.</v>
      </c>
      <c r="E77" s="16">
        <v>42186</v>
      </c>
      <c r="F77" s="16">
        <v>42552</v>
      </c>
      <c r="G77" s="13">
        <v>623925.5</v>
      </c>
      <c r="H77" s="16">
        <v>42552</v>
      </c>
      <c r="I77" s="13">
        <v>624685.76</v>
      </c>
      <c r="J77" s="13">
        <f t="shared" si="2"/>
        <v>780857.2</v>
      </c>
      <c r="K77" s="6"/>
    </row>
    <row r="78" spans="1:11" ht="24" x14ac:dyDescent="0.25">
      <c r="A78" s="3">
        <v>8</v>
      </c>
      <c r="B78" s="14" t="s">
        <v>39</v>
      </c>
      <c r="C78" s="15" t="str">
        <f>"1/2014-5"</f>
        <v>1/2014-5</v>
      </c>
      <c r="D78" s="15" t="str">
        <f>CONCATENATE("KING ICT D.O.O.")</f>
        <v>KING ICT D.O.O.</v>
      </c>
      <c r="E78" s="16">
        <v>42176</v>
      </c>
      <c r="F78" s="16">
        <v>42551</v>
      </c>
      <c r="G78" s="13">
        <v>0</v>
      </c>
      <c r="H78" s="16">
        <v>42551</v>
      </c>
      <c r="I78" s="13">
        <v>2421547.36</v>
      </c>
      <c r="J78" s="13">
        <f t="shared" si="2"/>
        <v>3026934.1999999997</v>
      </c>
      <c r="K78" s="6"/>
    </row>
    <row r="79" spans="1:11" x14ac:dyDescent="0.25">
      <c r="A79" s="3">
        <v>9</v>
      </c>
      <c r="B79" s="14" t="s">
        <v>33</v>
      </c>
      <c r="C79" s="15" t="str">
        <f>"1/2014-3"</f>
        <v>1/2014-3</v>
      </c>
      <c r="D79" s="15" t="str">
        <f>CONCATENATE("KING ICT D.O.O.")</f>
        <v>KING ICT D.O.O.</v>
      </c>
      <c r="E79" s="16">
        <v>42174</v>
      </c>
      <c r="F79" s="16">
        <v>42551</v>
      </c>
      <c r="G79" s="13">
        <v>0</v>
      </c>
      <c r="H79" s="16">
        <v>42551</v>
      </c>
      <c r="I79" s="13">
        <v>138172.89000000001</v>
      </c>
      <c r="J79" s="13">
        <f t="shared" si="2"/>
        <v>172716.11250000002</v>
      </c>
      <c r="K79" s="6"/>
    </row>
    <row r="80" spans="1:11" ht="24" x14ac:dyDescent="0.25">
      <c r="A80" s="3">
        <v>10</v>
      </c>
      <c r="B80" s="14" t="s">
        <v>31</v>
      </c>
      <c r="C80" s="15" t="str">
        <f>"277/15"</f>
        <v>277/15</v>
      </c>
      <c r="D80" s="15" t="str">
        <f>CONCATENATE("KING ICT D.O.O.")</f>
        <v>KING ICT D.O.O.</v>
      </c>
      <c r="E80" s="16">
        <v>42145</v>
      </c>
      <c r="F80" s="16">
        <v>42551</v>
      </c>
      <c r="G80" s="13">
        <v>179112.68</v>
      </c>
      <c r="H80" s="16">
        <v>42551</v>
      </c>
      <c r="I80" s="13">
        <v>173816.08</v>
      </c>
      <c r="J80" s="13">
        <f t="shared" si="2"/>
        <v>217270.09999999998</v>
      </c>
      <c r="K80" s="6"/>
    </row>
    <row r="81" spans="1:11" ht="24" x14ac:dyDescent="0.25">
      <c r="A81" s="3">
        <v>11</v>
      </c>
      <c r="B81" s="14" t="s">
        <v>108</v>
      </c>
      <c r="C81" s="15" t="str">
        <f>"1/2014-1/1"</f>
        <v>1/2014-1/1</v>
      </c>
      <c r="D81" s="15" t="str">
        <f>CONCATENATE("KING ICT D.O.O.")</f>
        <v>KING ICT D.O.O.</v>
      </c>
      <c r="E81" s="16">
        <v>42089</v>
      </c>
      <c r="F81" s="16">
        <v>42551</v>
      </c>
      <c r="G81" s="13">
        <v>1348483.02</v>
      </c>
      <c r="H81" s="16">
        <v>42551</v>
      </c>
      <c r="I81" s="47">
        <v>1751855.12</v>
      </c>
      <c r="J81" s="47">
        <f t="shared" si="2"/>
        <v>2189818.9000000004</v>
      </c>
      <c r="K81" s="6"/>
    </row>
    <row r="82" spans="1:11" ht="7.5" customHeight="1" x14ac:dyDescent="0.25"/>
    <row r="83" spans="1:11" ht="42" customHeight="1" x14ac:dyDescent="0.25">
      <c r="A83" s="1" t="s">
        <v>0</v>
      </c>
      <c r="B83" s="2" t="s">
        <v>1</v>
      </c>
      <c r="C83" s="2" t="s">
        <v>6</v>
      </c>
      <c r="D83" s="2" t="s">
        <v>2</v>
      </c>
      <c r="E83" s="2" t="s">
        <v>3</v>
      </c>
      <c r="F83" s="2" t="s">
        <v>7</v>
      </c>
      <c r="G83" s="2" t="s">
        <v>8</v>
      </c>
      <c r="H83" s="2" t="s">
        <v>4</v>
      </c>
      <c r="I83" s="2" t="s">
        <v>5</v>
      </c>
    </row>
    <row r="84" spans="1:11" ht="36" x14ac:dyDescent="0.25">
      <c r="A84" s="3">
        <v>1</v>
      </c>
      <c r="B84" s="19" t="s">
        <v>111</v>
      </c>
      <c r="C84" s="20" t="s">
        <v>110</v>
      </c>
      <c r="D84" s="3" t="s">
        <v>682</v>
      </c>
      <c r="E84" s="3" t="s">
        <v>681</v>
      </c>
      <c r="F84" s="21">
        <v>42167</v>
      </c>
      <c r="G84" s="3" t="s">
        <v>116</v>
      </c>
      <c r="H84" s="13">
        <v>14500000</v>
      </c>
      <c r="I84" s="13">
        <v>26164852</v>
      </c>
    </row>
    <row r="85" spans="1:11" x14ac:dyDescent="0.25">
      <c r="A85" s="42" t="s">
        <v>706</v>
      </c>
      <c r="B85" s="43"/>
      <c r="C85" s="43"/>
      <c r="D85" s="43"/>
      <c r="E85" s="43"/>
      <c r="F85" s="43"/>
      <c r="G85" s="43"/>
      <c r="H85" s="44"/>
      <c r="I85" s="13">
        <v>3374534.23</v>
      </c>
    </row>
    <row r="86" spans="1:11" ht="7.5" customHeight="1" x14ac:dyDescent="0.25"/>
    <row r="87" spans="1:11" x14ac:dyDescent="0.25">
      <c r="A87" s="46" t="s">
        <v>20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63.75" customHeight="1" x14ac:dyDescent="0.25">
      <c r="A88" s="4" t="s">
        <v>0</v>
      </c>
      <c r="B88" s="5" t="s">
        <v>10</v>
      </c>
      <c r="C88" s="5" t="s">
        <v>9</v>
      </c>
      <c r="D88" s="5" t="s">
        <v>13</v>
      </c>
      <c r="E88" s="5" t="s">
        <v>12</v>
      </c>
      <c r="F88" s="5" t="s">
        <v>11</v>
      </c>
      <c r="G88" s="5" t="s">
        <v>18</v>
      </c>
      <c r="H88" s="5" t="s">
        <v>14</v>
      </c>
      <c r="I88" s="5" t="s">
        <v>15</v>
      </c>
      <c r="J88" s="5" t="s">
        <v>16</v>
      </c>
      <c r="K88" s="5" t="s">
        <v>17</v>
      </c>
    </row>
    <row r="89" spans="1:11" ht="96" x14ac:dyDescent="0.25">
      <c r="A89" s="3">
        <v>1</v>
      </c>
      <c r="B89" s="14" t="s">
        <v>39</v>
      </c>
      <c r="C89" s="15" t="str">
        <f>"39/15"</f>
        <v>39/15</v>
      </c>
      <c r="D89" s="15" t="str">
        <f>CONCATENATE("1. Zajednica ponuditelja: ",CHAR(10),"    KING ICT D.O.O.",CHAR(10),"    ERICSSON NIKOLA TESLA D.D.",CHAR(10),"    COMBIS D.O.O.",CHAR(10),"    IN2 D.O.O.",CHAR(10),"    COMPUTECH D.O.O.")</f>
        <v>1. Zajednica ponuditelja: 
    KING ICT D.O.O.
    ERICSSON NIKOLA TESLA D.D.
    COMBIS D.O.O.
    IN2 D.O.O.
    COMPUTECH D.O.O.</v>
      </c>
      <c r="E89" s="16">
        <v>42241</v>
      </c>
      <c r="F89" s="16">
        <v>42364</v>
      </c>
      <c r="G89" s="13">
        <v>318507.59999999998</v>
      </c>
      <c r="H89" s="16">
        <v>42364</v>
      </c>
      <c r="I89" s="13">
        <v>318507.59999999998</v>
      </c>
      <c r="J89" s="13">
        <f>I89*1.25</f>
        <v>398134.5</v>
      </c>
      <c r="K89" s="6"/>
    </row>
    <row r="90" spans="1:11" ht="96" x14ac:dyDescent="0.25">
      <c r="A90" s="3">
        <v>2</v>
      </c>
      <c r="B90" s="14" t="s">
        <v>42</v>
      </c>
      <c r="C90" s="15" t="str">
        <f>"204-15-0071"</f>
        <v>204-15-0071</v>
      </c>
      <c r="D90" s="15" t="str">
        <f>CONCATENATE("1. Zajednica ponuditelja: ",CHAR(10),"    KING ICT D.O.O.",CHAR(10),"    ERICSSON NIKOLA TESLA D.D.",CHAR(10),"    COMBIS D.O.O.",CHAR(10),"    IN2 D.O.O.",CHAR(10),"    COMPUTECH D.O.O.")</f>
        <v>1. Zajednica ponuditelja: 
    KING ICT D.O.O.
    ERICSSON NIKOLA TESLA D.D.
    COMBIS D.O.O.
    IN2 D.O.O.
    COMPUTECH D.O.O.</v>
      </c>
      <c r="E90" s="16">
        <v>42334</v>
      </c>
      <c r="F90" s="16">
        <v>42364</v>
      </c>
      <c r="G90" s="13">
        <v>241127.46</v>
      </c>
      <c r="H90" s="16">
        <v>42364</v>
      </c>
      <c r="I90" s="13">
        <v>239198.45</v>
      </c>
      <c r="J90" s="13">
        <f t="shared" ref="J90:J91" si="3">I90*1.25</f>
        <v>298998.0625</v>
      </c>
      <c r="K90" s="6"/>
    </row>
    <row r="91" spans="1:11" ht="96" x14ac:dyDescent="0.25">
      <c r="A91" s="3">
        <v>3</v>
      </c>
      <c r="B91" s="14" t="s">
        <v>36</v>
      </c>
      <c r="C91" s="15" t="str">
        <f>"1/2015-02"</f>
        <v>1/2015-02</v>
      </c>
      <c r="D91" s="15" t="str">
        <f>CONCATENATE("1. Zajednica ponuditelja: ",CHAR(10),"    KING ICT D.O.O.",CHAR(10),"    ERICSSON NIKOLA TESLA D.D.",CHAR(10),"    COMBIS D.O.O.",CHAR(10),"    IN2 D.O.O.",CHAR(10),"    COMPUTECH D.O.O.")</f>
        <v>1. Zajednica ponuditelja: 
    KING ICT D.O.O.
    ERICSSON NIKOLA TESLA D.D.
    COMBIS D.O.O.
    IN2 D.O.O.
    COMPUTECH D.O.O.</v>
      </c>
      <c r="E91" s="16">
        <v>42292</v>
      </c>
      <c r="F91" s="16">
        <v>42323</v>
      </c>
      <c r="G91" s="13">
        <v>2816828.18</v>
      </c>
      <c r="H91" s="16">
        <v>42323</v>
      </c>
      <c r="I91" s="13">
        <v>2816828.18</v>
      </c>
      <c r="J91" s="13">
        <f t="shared" si="3"/>
        <v>3521035.2250000001</v>
      </c>
      <c r="K91" s="6"/>
    </row>
    <row r="92" spans="1:11" ht="7.5" customHeight="1" x14ac:dyDescent="0.25"/>
    <row r="93" spans="1:11" ht="42" customHeight="1" x14ac:dyDescent="0.25">
      <c r="A93" s="1" t="s">
        <v>0</v>
      </c>
      <c r="B93" s="2" t="s">
        <v>1</v>
      </c>
      <c r="C93" s="2" t="s">
        <v>6</v>
      </c>
      <c r="D93" s="2" t="s">
        <v>2</v>
      </c>
      <c r="E93" s="2" t="s">
        <v>3</v>
      </c>
      <c r="F93" s="2" t="s">
        <v>7</v>
      </c>
      <c r="G93" s="2" t="s">
        <v>8</v>
      </c>
      <c r="H93" s="2" t="s">
        <v>4</v>
      </c>
      <c r="I93" s="2" t="s">
        <v>5</v>
      </c>
    </row>
    <row r="94" spans="1:11" ht="36" x14ac:dyDescent="0.25">
      <c r="A94" s="24">
        <v>1</v>
      </c>
      <c r="B94" s="37" t="s">
        <v>113</v>
      </c>
      <c r="C94" s="38" t="s">
        <v>112</v>
      </c>
      <c r="D94" s="24" t="s">
        <v>698</v>
      </c>
      <c r="E94" s="24" t="s">
        <v>24</v>
      </c>
      <c r="F94" s="24" t="s">
        <v>115</v>
      </c>
      <c r="G94" s="24" t="s">
        <v>116</v>
      </c>
      <c r="H94" s="28">
        <v>12000000</v>
      </c>
      <c r="I94" s="28">
        <v>6412519</v>
      </c>
    </row>
    <row r="95" spans="1:11" x14ac:dyDescent="0.25">
      <c r="A95" s="42" t="s">
        <v>706</v>
      </c>
      <c r="B95" s="43"/>
      <c r="C95" s="43"/>
      <c r="D95" s="43"/>
      <c r="E95" s="43"/>
      <c r="F95" s="43"/>
      <c r="G95" s="43"/>
      <c r="H95" s="44"/>
      <c r="I95" s="8">
        <v>240786.52</v>
      </c>
    </row>
    <row r="96" spans="1:11" ht="7.5" customHeight="1" x14ac:dyDescent="0.25">
      <c r="H96" s="35"/>
      <c r="I96" s="36"/>
    </row>
    <row r="97" spans="1:11" x14ac:dyDescent="0.25">
      <c r="A97" s="46" t="s">
        <v>20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63.75" customHeight="1" x14ac:dyDescent="0.25">
      <c r="A98" s="4" t="s">
        <v>0</v>
      </c>
      <c r="B98" s="5" t="s">
        <v>10</v>
      </c>
      <c r="C98" s="5" t="s">
        <v>9</v>
      </c>
      <c r="D98" s="5" t="s">
        <v>13</v>
      </c>
      <c r="E98" s="5" t="s">
        <v>12</v>
      </c>
      <c r="F98" s="5" t="s">
        <v>11</v>
      </c>
      <c r="G98" s="5" t="s">
        <v>18</v>
      </c>
      <c r="H98" s="5" t="s">
        <v>14</v>
      </c>
      <c r="I98" s="5" t="s">
        <v>15</v>
      </c>
      <c r="J98" s="5" t="s">
        <v>16</v>
      </c>
      <c r="K98" s="5" t="s">
        <v>17</v>
      </c>
    </row>
    <row r="99" spans="1:11" ht="24" x14ac:dyDescent="0.25">
      <c r="A99" s="3">
        <v>1</v>
      </c>
      <c r="B99" s="14" t="s">
        <v>98</v>
      </c>
      <c r="C99" s="15" t="str">
        <f>"NAR/2015-DKSZ-AV"</f>
        <v>NAR/2015-DKSZ-AV</v>
      </c>
      <c r="D99" s="15" t="str">
        <f t="shared" ref="D99:D118" si="4">CONCATENATE("KONČAR ELEKTRONIKA I INFORMATIKA D.D.")</f>
        <v>KONČAR ELEKTRONIKA I INFORMATIKA D.D.</v>
      </c>
      <c r="E99" s="16">
        <v>42005</v>
      </c>
      <c r="F99" s="16">
        <v>42369</v>
      </c>
      <c r="G99" s="13">
        <v>76.930000000000007</v>
      </c>
      <c r="H99" s="16">
        <v>42369</v>
      </c>
      <c r="I99" s="13">
        <v>76.930000000000007</v>
      </c>
      <c r="J99" s="13">
        <f>I99*1.25</f>
        <v>96.162500000000009</v>
      </c>
      <c r="K99" s="6"/>
    </row>
    <row r="100" spans="1:11" ht="24" x14ac:dyDescent="0.25">
      <c r="A100" s="3">
        <v>2</v>
      </c>
      <c r="B100" s="14" t="s">
        <v>49</v>
      </c>
      <c r="C100" s="15" t="str">
        <f>"215/2015"</f>
        <v>215/2015</v>
      </c>
      <c r="D100" s="15" t="str">
        <f t="shared" si="4"/>
        <v>KONČAR ELEKTRONIKA I INFORMATIKA D.D.</v>
      </c>
      <c r="E100" s="16">
        <v>42072</v>
      </c>
      <c r="F100" s="16"/>
      <c r="G100" s="13">
        <v>1879.29</v>
      </c>
      <c r="H100" s="16"/>
      <c r="I100" s="13">
        <v>1879.29</v>
      </c>
      <c r="J100" s="13">
        <f t="shared" ref="J100:J118" si="5">I100*1.25</f>
        <v>2349.1125000000002</v>
      </c>
      <c r="K100" s="6"/>
    </row>
    <row r="101" spans="1:11" ht="36" x14ac:dyDescent="0.25">
      <c r="A101" s="3">
        <v>3</v>
      </c>
      <c r="B101" s="14" t="s">
        <v>104</v>
      </c>
      <c r="C101" s="15" t="str">
        <f>"NAR/2015-UZLJP-AV"</f>
        <v>NAR/2015-UZLJP-AV</v>
      </c>
      <c r="D101" s="15" t="str">
        <f t="shared" si="4"/>
        <v>KONČAR ELEKTRONIKA I INFORMATIKA D.D.</v>
      </c>
      <c r="E101" s="16">
        <v>42005</v>
      </c>
      <c r="F101" s="16">
        <v>42369</v>
      </c>
      <c r="G101" s="13">
        <v>120.89</v>
      </c>
      <c r="H101" s="16">
        <v>42369</v>
      </c>
      <c r="I101" s="13">
        <v>120.89</v>
      </c>
      <c r="J101" s="13">
        <f t="shared" si="5"/>
        <v>151.11250000000001</v>
      </c>
      <c r="K101" s="6"/>
    </row>
    <row r="102" spans="1:11" ht="24" x14ac:dyDescent="0.25">
      <c r="A102" s="3">
        <v>4</v>
      </c>
      <c r="B102" s="14" t="s">
        <v>102</v>
      </c>
      <c r="C102" s="15" t="str">
        <f>"NAR/2015-SSSNM-AV"</f>
        <v>NAR/2015-SSSNM-AV</v>
      </c>
      <c r="D102" s="15" t="str">
        <f t="shared" si="4"/>
        <v>KONČAR ELEKTRONIKA I INFORMATIKA D.D.</v>
      </c>
      <c r="E102" s="16">
        <v>42005</v>
      </c>
      <c r="F102" s="16">
        <v>42369</v>
      </c>
      <c r="G102" s="13">
        <v>76.930000000000007</v>
      </c>
      <c r="H102" s="16">
        <v>42369</v>
      </c>
      <c r="I102" s="13">
        <v>76.930000000000007</v>
      </c>
      <c r="J102" s="13">
        <f t="shared" si="5"/>
        <v>96.162500000000009</v>
      </c>
      <c r="K102" s="6"/>
    </row>
    <row r="103" spans="1:11" ht="24" x14ac:dyDescent="0.25">
      <c r="A103" s="3">
        <v>5</v>
      </c>
      <c r="B103" s="14" t="s">
        <v>107</v>
      </c>
      <c r="C103" s="15" t="str">
        <f>"NAR/2015-URS-AV"</f>
        <v>NAR/2015-URS-AV</v>
      </c>
      <c r="D103" s="15" t="str">
        <f t="shared" si="4"/>
        <v>KONČAR ELEKTRONIKA I INFORMATIKA D.D.</v>
      </c>
      <c r="E103" s="16">
        <v>42005</v>
      </c>
      <c r="F103" s="16">
        <v>42369</v>
      </c>
      <c r="G103" s="13">
        <v>98.91</v>
      </c>
      <c r="H103" s="16">
        <v>42369</v>
      </c>
      <c r="I103" s="13">
        <v>98.91</v>
      </c>
      <c r="J103" s="13">
        <f t="shared" si="5"/>
        <v>123.63749999999999</v>
      </c>
      <c r="K103" s="6"/>
    </row>
    <row r="104" spans="1:11" ht="24" x14ac:dyDescent="0.25">
      <c r="A104" s="3">
        <v>6</v>
      </c>
      <c r="B104" s="14" t="s">
        <v>103</v>
      </c>
      <c r="C104" s="15" t="str">
        <f>"NAR/2015-UR-AV"</f>
        <v>NAR/2015-UR-AV</v>
      </c>
      <c r="D104" s="15" t="str">
        <f t="shared" si="4"/>
        <v>KONČAR ELEKTRONIKA I INFORMATIKA D.D.</v>
      </c>
      <c r="E104" s="16">
        <v>42005</v>
      </c>
      <c r="F104" s="16">
        <v>42369</v>
      </c>
      <c r="G104" s="13">
        <v>98.91</v>
      </c>
      <c r="H104" s="16">
        <v>42369</v>
      </c>
      <c r="I104" s="13">
        <v>98.91</v>
      </c>
      <c r="J104" s="13">
        <f t="shared" si="5"/>
        <v>123.63749999999999</v>
      </c>
      <c r="K104" s="6"/>
    </row>
    <row r="105" spans="1:11" ht="24" x14ac:dyDescent="0.25">
      <c r="A105" s="3">
        <v>7</v>
      </c>
      <c r="B105" s="14" t="s">
        <v>105</v>
      </c>
      <c r="C105" s="15" t="str">
        <f>"NAR/2015-ULJPPNM-AV"</f>
        <v>NAR/2015-ULJPPNM-AV</v>
      </c>
      <c r="D105" s="15" t="str">
        <f t="shared" si="4"/>
        <v>KONČAR ELEKTRONIKA I INFORMATIKA D.D.</v>
      </c>
      <c r="E105" s="16">
        <v>42005</v>
      </c>
      <c r="F105" s="16">
        <v>42369</v>
      </c>
      <c r="G105" s="13">
        <v>307.72000000000003</v>
      </c>
      <c r="H105" s="16">
        <v>42369</v>
      </c>
      <c r="I105" s="13">
        <v>307.72000000000003</v>
      </c>
      <c r="J105" s="13">
        <f t="shared" si="5"/>
        <v>384.65000000000003</v>
      </c>
      <c r="K105" s="6"/>
    </row>
    <row r="106" spans="1:11" ht="24" x14ac:dyDescent="0.25">
      <c r="A106" s="3">
        <v>8</v>
      </c>
      <c r="B106" s="14" t="s">
        <v>106</v>
      </c>
      <c r="C106" s="15" t="str">
        <f>"NAR/2015-U VRH UR-AV"</f>
        <v>NAR/2015-U VRH UR-AV</v>
      </c>
      <c r="D106" s="15" t="str">
        <f t="shared" si="4"/>
        <v>KONČAR ELEKTRONIKA I INFORMATIKA D.D.</v>
      </c>
      <c r="E106" s="16">
        <v>42005</v>
      </c>
      <c r="F106" s="16">
        <v>42369</v>
      </c>
      <c r="G106" s="13">
        <v>120.89</v>
      </c>
      <c r="H106" s="16">
        <v>42369</v>
      </c>
      <c r="I106" s="13">
        <v>120.89</v>
      </c>
      <c r="J106" s="13">
        <f t="shared" si="5"/>
        <v>151.11250000000001</v>
      </c>
      <c r="K106" s="6"/>
    </row>
    <row r="107" spans="1:11" ht="24" x14ac:dyDescent="0.25">
      <c r="A107" s="3">
        <v>9</v>
      </c>
      <c r="B107" s="14" t="s">
        <v>50</v>
      </c>
      <c r="C107" s="15" t="str">
        <f>"65-2015"</f>
        <v>65-2015</v>
      </c>
      <c r="D107" s="15" t="str">
        <f t="shared" si="4"/>
        <v>KONČAR ELEKTRONIKA I INFORMATIKA D.D.</v>
      </c>
      <c r="E107" s="16">
        <v>42269</v>
      </c>
      <c r="F107" s="16"/>
      <c r="G107" s="13">
        <v>791.28</v>
      </c>
      <c r="H107" s="16"/>
      <c r="I107" s="13">
        <v>791.28</v>
      </c>
      <c r="J107" s="13">
        <f t="shared" si="5"/>
        <v>989.09999999999991</v>
      </c>
      <c r="K107" s="6"/>
    </row>
    <row r="108" spans="1:11" ht="24" x14ac:dyDescent="0.25">
      <c r="A108" s="3">
        <v>10</v>
      </c>
      <c r="B108" s="14" t="s">
        <v>26</v>
      </c>
      <c r="C108" s="15" t="str">
        <f>"278-42.142276/2"</f>
        <v>278-42.142276/2</v>
      </c>
      <c r="D108" s="15" t="str">
        <f t="shared" si="4"/>
        <v>KONČAR ELEKTRONIKA I INFORMATIKA D.D.</v>
      </c>
      <c r="E108" s="16">
        <v>41996</v>
      </c>
      <c r="F108" s="16"/>
      <c r="G108" s="13">
        <v>15670</v>
      </c>
      <c r="H108" s="16"/>
      <c r="I108" s="13">
        <v>15670</v>
      </c>
      <c r="J108" s="13">
        <f t="shared" si="5"/>
        <v>19587.5</v>
      </c>
      <c r="K108" s="6"/>
    </row>
    <row r="109" spans="1:11" ht="24" x14ac:dyDescent="0.25">
      <c r="A109" s="3">
        <v>11</v>
      </c>
      <c r="B109" s="14" t="s">
        <v>114</v>
      </c>
      <c r="C109" s="15" t="str">
        <f>"NAR/2015-UKOVZ-AV"</f>
        <v>NAR/2015-UKOVZ-AV</v>
      </c>
      <c r="D109" s="15" t="str">
        <f t="shared" si="4"/>
        <v>KONČAR ELEKTRONIKA I INFORMATIKA D.D.</v>
      </c>
      <c r="E109" s="16">
        <v>42005</v>
      </c>
      <c r="F109" s="16">
        <v>42369</v>
      </c>
      <c r="G109" s="13">
        <v>21.98</v>
      </c>
      <c r="H109" s="16">
        <v>42369</v>
      </c>
      <c r="I109" s="13">
        <v>21.98</v>
      </c>
      <c r="J109" s="13">
        <f t="shared" si="5"/>
        <v>27.475000000000001</v>
      </c>
      <c r="K109" s="6"/>
    </row>
    <row r="110" spans="1:11" ht="24" x14ac:dyDescent="0.25">
      <c r="A110" s="3">
        <v>12</v>
      </c>
      <c r="B110" s="14" t="s">
        <v>101</v>
      </c>
      <c r="C110" s="15" t="str">
        <f>"NAR/2015-USZD-AV"</f>
        <v>NAR/2015-USZD-AV</v>
      </c>
      <c r="D110" s="15" t="str">
        <f t="shared" si="4"/>
        <v>KONČAR ELEKTRONIKA I INFORMATIKA D.D.</v>
      </c>
      <c r="E110" s="16">
        <v>42005</v>
      </c>
      <c r="F110" s="16">
        <v>42369</v>
      </c>
      <c r="G110" s="13">
        <v>197.82</v>
      </c>
      <c r="H110" s="16">
        <v>42369</v>
      </c>
      <c r="I110" s="13">
        <v>197.82</v>
      </c>
      <c r="J110" s="13">
        <f t="shared" si="5"/>
        <v>247.27499999999998</v>
      </c>
      <c r="K110" s="6"/>
    </row>
    <row r="111" spans="1:11" ht="24" x14ac:dyDescent="0.25">
      <c r="A111" s="3">
        <v>13</v>
      </c>
      <c r="B111" s="14" t="s">
        <v>55</v>
      </c>
      <c r="C111" s="15" t="str">
        <f>"21-18-15-1"</f>
        <v>21-18-15-1</v>
      </c>
      <c r="D111" s="15" t="str">
        <f t="shared" si="4"/>
        <v>KONČAR ELEKTRONIKA I INFORMATIKA D.D.</v>
      </c>
      <c r="E111" s="16">
        <v>42152</v>
      </c>
      <c r="F111" s="16">
        <v>43248</v>
      </c>
      <c r="G111" s="13">
        <v>31321.5</v>
      </c>
      <c r="H111" s="16">
        <v>43248</v>
      </c>
      <c r="I111" s="13">
        <v>10440.5</v>
      </c>
      <c r="J111" s="13">
        <f t="shared" si="5"/>
        <v>13050.625</v>
      </c>
      <c r="K111" s="6"/>
    </row>
    <row r="112" spans="1:11" ht="24" x14ac:dyDescent="0.25">
      <c r="A112" s="3">
        <v>14</v>
      </c>
      <c r="B112" s="14" t="s">
        <v>52</v>
      </c>
      <c r="C112" s="15" t="str">
        <f>"1/2014-DUSJN"</f>
        <v>1/2014-DUSJN</v>
      </c>
      <c r="D112" s="15" t="str">
        <f t="shared" si="4"/>
        <v>KONČAR ELEKTRONIKA I INFORMATIKA D.D.</v>
      </c>
      <c r="E112" s="16">
        <v>42055</v>
      </c>
      <c r="F112" s="16">
        <v>43164</v>
      </c>
      <c r="G112" s="13">
        <v>1055.04</v>
      </c>
      <c r="H112" s="16">
        <v>43164</v>
      </c>
      <c r="I112" s="13">
        <v>1054.72</v>
      </c>
      <c r="J112" s="13">
        <f t="shared" si="5"/>
        <v>1318.4</v>
      </c>
      <c r="K112" s="6"/>
    </row>
    <row r="113" spans="1:11" ht="24" x14ac:dyDescent="0.25">
      <c r="A113" s="3">
        <v>15</v>
      </c>
      <c r="B113" s="14" t="s">
        <v>61</v>
      </c>
      <c r="C113" s="15" t="str">
        <f>"107/14"</f>
        <v>107/14</v>
      </c>
      <c r="D113" s="15" t="str">
        <f t="shared" si="4"/>
        <v>KONČAR ELEKTRONIKA I INFORMATIKA D.D.</v>
      </c>
      <c r="E113" s="16">
        <v>42002</v>
      </c>
      <c r="F113" s="16">
        <v>42033</v>
      </c>
      <c r="G113" s="13">
        <v>1593.55</v>
      </c>
      <c r="H113" s="16">
        <v>42033</v>
      </c>
      <c r="I113" s="13">
        <v>1593.55</v>
      </c>
      <c r="J113" s="13">
        <f t="shared" si="5"/>
        <v>1991.9375</v>
      </c>
      <c r="K113" s="6"/>
    </row>
    <row r="114" spans="1:11" ht="24" x14ac:dyDescent="0.25">
      <c r="A114" s="3">
        <v>16</v>
      </c>
      <c r="B114" s="14" t="s">
        <v>47</v>
      </c>
      <c r="C114" s="15" t="str">
        <f>"278-01302"</f>
        <v>278-01302</v>
      </c>
      <c r="D114" s="15" t="str">
        <f t="shared" si="4"/>
        <v>KONČAR ELEKTRONIKA I INFORMATIKA D.D.</v>
      </c>
      <c r="E114" s="16">
        <v>41995</v>
      </c>
      <c r="F114" s="16">
        <v>42360</v>
      </c>
      <c r="G114" s="13">
        <v>3956.4</v>
      </c>
      <c r="H114" s="16">
        <v>42360</v>
      </c>
      <c r="I114" s="13">
        <v>3956.4</v>
      </c>
      <c r="J114" s="13">
        <f t="shared" si="5"/>
        <v>4945.5</v>
      </c>
      <c r="K114" s="6"/>
    </row>
    <row r="115" spans="1:11" ht="24" x14ac:dyDescent="0.25">
      <c r="A115" s="3">
        <v>17</v>
      </c>
      <c r="B115" s="14" t="s">
        <v>83</v>
      </c>
      <c r="C115" s="15" t="str">
        <f>"278-01293"</f>
        <v>278-01293</v>
      </c>
      <c r="D115" s="15" t="str">
        <f t="shared" si="4"/>
        <v>KONČAR ELEKTRONIKA I INFORMATIKA D.D.</v>
      </c>
      <c r="E115" s="16">
        <v>41984</v>
      </c>
      <c r="F115" s="16">
        <v>43080</v>
      </c>
      <c r="G115" s="13">
        <v>1978.2</v>
      </c>
      <c r="H115" s="16">
        <v>43080</v>
      </c>
      <c r="I115" s="13">
        <v>0</v>
      </c>
      <c r="J115" s="13">
        <f t="shared" si="5"/>
        <v>0</v>
      </c>
      <c r="K115" s="6"/>
    </row>
    <row r="116" spans="1:11" ht="24" x14ac:dyDescent="0.25">
      <c r="A116" s="3">
        <v>18</v>
      </c>
      <c r="B116" s="14" t="s">
        <v>48</v>
      </c>
      <c r="C116" s="15" t="str">
        <f>"278-01231"</f>
        <v>278-01231</v>
      </c>
      <c r="D116" s="15" t="str">
        <f t="shared" si="4"/>
        <v>KONČAR ELEKTRONIKA I INFORMATIKA D.D.</v>
      </c>
      <c r="E116" s="16">
        <v>41962</v>
      </c>
      <c r="F116" s="16">
        <v>43058</v>
      </c>
      <c r="G116" s="13">
        <v>4615.8</v>
      </c>
      <c r="H116" s="16">
        <v>43058</v>
      </c>
      <c r="I116" s="13">
        <v>4615.8</v>
      </c>
      <c r="J116" s="13">
        <f t="shared" si="5"/>
        <v>5769.75</v>
      </c>
      <c r="K116" s="6"/>
    </row>
    <row r="117" spans="1:11" ht="24" x14ac:dyDescent="0.25">
      <c r="A117" s="3">
        <v>19</v>
      </c>
      <c r="B117" s="14" t="s">
        <v>31</v>
      </c>
      <c r="C117" s="15" t="str">
        <f>"278-00973"</f>
        <v>278-00973</v>
      </c>
      <c r="D117" s="15" t="str">
        <f t="shared" si="4"/>
        <v>KONČAR ELEKTRONIKA I INFORMATIKA D.D.</v>
      </c>
      <c r="E117" s="16">
        <v>41932</v>
      </c>
      <c r="F117" s="16">
        <v>43028</v>
      </c>
      <c r="G117" s="13">
        <v>21430.5</v>
      </c>
      <c r="H117" s="16">
        <v>43028</v>
      </c>
      <c r="I117" s="13">
        <v>6240</v>
      </c>
      <c r="J117" s="13">
        <f t="shared" si="5"/>
        <v>7800</v>
      </c>
      <c r="K117" s="6"/>
    </row>
    <row r="118" spans="1:11" ht="24" x14ac:dyDescent="0.25">
      <c r="A118" s="3">
        <v>20</v>
      </c>
      <c r="B118" s="14" t="s">
        <v>41</v>
      </c>
      <c r="C118" s="15" t="str">
        <f>"14-DUSJN/14"</f>
        <v>14-DUSJN/14</v>
      </c>
      <c r="D118" s="15" t="str">
        <f t="shared" si="4"/>
        <v>KONČAR ELEKTRONIKA I INFORMATIKA D.D.</v>
      </c>
      <c r="E118" s="16">
        <v>41914</v>
      </c>
      <c r="F118" s="16">
        <v>43010</v>
      </c>
      <c r="G118" s="13">
        <v>290136</v>
      </c>
      <c r="H118" s="16">
        <v>43010</v>
      </c>
      <c r="I118" s="13">
        <v>193424</v>
      </c>
      <c r="J118" s="13">
        <f t="shared" si="5"/>
        <v>241780</v>
      </c>
      <c r="K118" s="6"/>
    </row>
    <row r="120" spans="1:11" x14ac:dyDescent="0.25">
      <c r="B120" s="41" t="s">
        <v>707</v>
      </c>
      <c r="C120" s="41"/>
      <c r="D120" s="41"/>
      <c r="E120" s="41"/>
      <c r="F120" s="41"/>
      <c r="G120" s="41"/>
      <c r="H120" s="41"/>
      <c r="I120" s="41"/>
      <c r="J120" s="41"/>
      <c r="K120" s="41"/>
    </row>
  </sheetData>
  <sheetProtection algorithmName="SHA-512" hashValue="KOSWRRyZ0d3WxGn3HCYTNgS9knCnr9HeFqXF4NbXiNEDn3UoW9xiABSCHuvjxzMb0+hdzg7J5VsnFxYZOJFclg==" saltValue="5J1gx6wd0NuSP2eoSSK+yQ==" spinCount="100000" sheet="1" objects="1" scenarios="1"/>
  <mergeCells count="10">
    <mergeCell ref="B120:K120"/>
    <mergeCell ref="A87:K87"/>
    <mergeCell ref="A95:H95"/>
    <mergeCell ref="A97:K97"/>
    <mergeCell ref="A1:I1"/>
    <mergeCell ref="A4:H4"/>
    <mergeCell ref="A6:K6"/>
    <mergeCell ref="A67:H67"/>
    <mergeCell ref="A69:K69"/>
    <mergeCell ref="A85:H85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D77 D12:D13 D36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28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75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76</v>
      </c>
      <c r="C3" s="3" t="s">
        <v>77</v>
      </c>
      <c r="D3" s="3" t="s">
        <v>699</v>
      </c>
      <c r="E3" s="3" t="s">
        <v>24</v>
      </c>
      <c r="F3" s="21">
        <v>41919</v>
      </c>
      <c r="G3" s="3" t="s">
        <v>668</v>
      </c>
      <c r="H3" s="13">
        <v>4840000</v>
      </c>
      <c r="I3" s="13">
        <v>3059984.12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2873610.44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32</v>
      </c>
      <c r="C8" s="15" t="str">
        <f>"DHMZ-G2-2015"</f>
        <v>DHMZ-G2-2015</v>
      </c>
      <c r="D8" s="15" t="str">
        <f t="shared" ref="D8:D70" si="0">CONCATENATE("ADRIATIC SERVIS")</f>
        <v>ADRIATIC SERVIS</v>
      </c>
      <c r="E8" s="16">
        <v>42027</v>
      </c>
      <c r="F8" s="16">
        <v>42304</v>
      </c>
      <c r="G8" s="13">
        <v>40000</v>
      </c>
      <c r="H8" s="16">
        <v>42304</v>
      </c>
      <c r="I8" s="13">
        <v>18549</v>
      </c>
      <c r="J8" s="13">
        <f>I8*1.25</f>
        <v>23186.25</v>
      </c>
      <c r="K8" s="6"/>
    </row>
    <row r="9" spans="1:11" ht="24" x14ac:dyDescent="0.25">
      <c r="A9" s="3">
        <v>2</v>
      </c>
      <c r="B9" s="14" t="s">
        <v>45</v>
      </c>
      <c r="C9" s="15" t="str">
        <f>"2/2014-AS-14-U1"</f>
        <v>2/2014-AS-14-U1</v>
      </c>
      <c r="D9" s="15" t="str">
        <f t="shared" si="0"/>
        <v>ADRIATIC SERVIS</v>
      </c>
      <c r="E9" s="16">
        <v>42006</v>
      </c>
      <c r="F9" s="16"/>
      <c r="G9" s="13">
        <v>1741.52</v>
      </c>
      <c r="H9" s="16"/>
      <c r="I9" s="13">
        <v>1345.44</v>
      </c>
      <c r="J9" s="13">
        <f t="shared" ref="J9:J71" si="1">I9*1.25</f>
        <v>1681.8000000000002</v>
      </c>
      <c r="K9" s="6"/>
    </row>
    <row r="10" spans="1:11" ht="24" x14ac:dyDescent="0.25">
      <c r="A10" s="3">
        <v>3</v>
      </c>
      <c r="B10" s="14" t="s">
        <v>45</v>
      </c>
      <c r="C10" s="15" t="str">
        <f>"2/2014-AS-13-U1"</f>
        <v>2/2014-AS-13-U1</v>
      </c>
      <c r="D10" s="15" t="str">
        <f t="shared" si="0"/>
        <v>ADRIATIC SERVIS</v>
      </c>
      <c r="E10" s="16">
        <v>42006</v>
      </c>
      <c r="F10" s="16"/>
      <c r="G10" s="13">
        <v>1516.2</v>
      </c>
      <c r="H10" s="16"/>
      <c r="I10" s="13">
        <v>1237.3</v>
      </c>
      <c r="J10" s="13">
        <f t="shared" si="1"/>
        <v>1546.625</v>
      </c>
      <c r="K10" s="6"/>
    </row>
    <row r="11" spans="1:11" ht="24" x14ac:dyDescent="0.25">
      <c r="A11" s="3">
        <v>4</v>
      </c>
      <c r="B11" s="14" t="s">
        <v>45</v>
      </c>
      <c r="C11" s="15" t="str">
        <f>"2/2014-AS-11-U1"</f>
        <v>2/2014-AS-11-U1</v>
      </c>
      <c r="D11" s="15" t="str">
        <f t="shared" si="0"/>
        <v>ADRIATIC SERVIS</v>
      </c>
      <c r="E11" s="16">
        <v>42006</v>
      </c>
      <c r="F11" s="16"/>
      <c r="G11" s="13">
        <v>2889.37</v>
      </c>
      <c r="H11" s="16"/>
      <c r="I11" s="13">
        <v>1367.72</v>
      </c>
      <c r="J11" s="13">
        <f t="shared" si="1"/>
        <v>1709.65</v>
      </c>
      <c r="K11" s="6"/>
    </row>
    <row r="12" spans="1:11" ht="24" x14ac:dyDescent="0.25">
      <c r="A12" s="3">
        <v>5</v>
      </c>
      <c r="B12" s="14" t="s">
        <v>30</v>
      </c>
      <c r="C12" s="15" t="str">
        <f>"510-C-U-0032/14-90"</f>
        <v>510-C-U-0032/14-90</v>
      </c>
      <c r="D12" s="15" t="str">
        <f t="shared" si="0"/>
        <v>ADRIATIC SERVIS</v>
      </c>
      <c r="E12" s="16">
        <v>41970</v>
      </c>
      <c r="F12" s="16">
        <v>42284</v>
      </c>
      <c r="G12" s="13">
        <v>53511</v>
      </c>
      <c r="H12" s="16">
        <v>42284</v>
      </c>
      <c r="I12" s="13">
        <v>58190</v>
      </c>
      <c r="J12" s="13">
        <f t="shared" si="1"/>
        <v>72737.5</v>
      </c>
      <c r="K12" s="6"/>
    </row>
    <row r="13" spans="1:11" ht="24" x14ac:dyDescent="0.25">
      <c r="A13" s="3">
        <v>6</v>
      </c>
      <c r="B13" s="14" t="s">
        <v>28</v>
      </c>
      <c r="C13" s="15" t="str">
        <f>"MGPU 2/2014-AS"</f>
        <v>MGPU 2/2014-AS</v>
      </c>
      <c r="D13" s="15" t="str">
        <f t="shared" si="0"/>
        <v>ADRIATIC SERVIS</v>
      </c>
      <c r="E13" s="16">
        <v>42006</v>
      </c>
      <c r="F13" s="16">
        <v>42284</v>
      </c>
      <c r="G13" s="13">
        <v>60949.59</v>
      </c>
      <c r="H13" s="16">
        <v>42284</v>
      </c>
      <c r="I13" s="13">
        <v>49687.28</v>
      </c>
      <c r="J13" s="13">
        <f t="shared" si="1"/>
        <v>62109.1</v>
      </c>
      <c r="K13" s="6"/>
    </row>
    <row r="14" spans="1:11" ht="24" x14ac:dyDescent="0.25">
      <c r="A14" s="3">
        <v>7</v>
      </c>
      <c r="B14" s="14" t="s">
        <v>30</v>
      </c>
      <c r="C14" s="15" t="str">
        <f>"715/2015"</f>
        <v>715/2015</v>
      </c>
      <c r="D14" s="15" t="str">
        <f t="shared" si="0"/>
        <v>ADRIATIC SERVIS</v>
      </c>
      <c r="E14" s="16">
        <v>42310</v>
      </c>
      <c r="F14" s="16">
        <v>42314</v>
      </c>
      <c r="G14" s="13">
        <v>174</v>
      </c>
      <c r="H14" s="16">
        <v>42314</v>
      </c>
      <c r="I14" s="13">
        <v>174</v>
      </c>
      <c r="J14" s="13">
        <f t="shared" si="1"/>
        <v>217.5</v>
      </c>
      <c r="K14" s="6"/>
    </row>
    <row r="15" spans="1:11" ht="24" x14ac:dyDescent="0.25">
      <c r="A15" s="3">
        <v>8</v>
      </c>
      <c r="B15" s="14" t="s">
        <v>30</v>
      </c>
      <c r="C15" s="15" t="str">
        <f>"714/2015"</f>
        <v>714/2015</v>
      </c>
      <c r="D15" s="15" t="str">
        <f t="shared" si="0"/>
        <v>ADRIATIC SERVIS</v>
      </c>
      <c r="E15" s="16">
        <v>42310</v>
      </c>
      <c r="F15" s="16">
        <v>42314</v>
      </c>
      <c r="G15" s="13">
        <v>201</v>
      </c>
      <c r="H15" s="16">
        <v>42314</v>
      </c>
      <c r="I15" s="13">
        <v>201</v>
      </c>
      <c r="J15" s="13">
        <f t="shared" si="1"/>
        <v>251.25</v>
      </c>
      <c r="K15" s="6"/>
    </row>
    <row r="16" spans="1:11" ht="24" x14ac:dyDescent="0.25">
      <c r="A16" s="3">
        <v>9</v>
      </c>
      <c r="B16" s="14" t="s">
        <v>30</v>
      </c>
      <c r="C16" s="15" t="str">
        <f>"713/2015"</f>
        <v>713/2015</v>
      </c>
      <c r="D16" s="15" t="str">
        <f t="shared" si="0"/>
        <v>ADRIATIC SERVIS</v>
      </c>
      <c r="E16" s="16">
        <v>42310</v>
      </c>
      <c r="F16" s="16">
        <v>42314</v>
      </c>
      <c r="G16" s="13">
        <v>39</v>
      </c>
      <c r="H16" s="16">
        <v>42314</v>
      </c>
      <c r="I16" s="13">
        <v>39</v>
      </c>
      <c r="J16" s="13">
        <f t="shared" si="1"/>
        <v>48.75</v>
      </c>
      <c r="K16" s="6"/>
    </row>
    <row r="17" spans="1:11" ht="24" x14ac:dyDescent="0.25">
      <c r="A17" s="3">
        <v>10</v>
      </c>
      <c r="B17" s="14" t="s">
        <v>30</v>
      </c>
      <c r="C17" s="15" t="str">
        <f>"712/2015"</f>
        <v>712/2015</v>
      </c>
      <c r="D17" s="15" t="str">
        <f t="shared" si="0"/>
        <v>ADRIATIC SERVIS</v>
      </c>
      <c r="E17" s="16">
        <v>42310</v>
      </c>
      <c r="F17" s="16">
        <v>42314</v>
      </c>
      <c r="G17" s="13">
        <v>203</v>
      </c>
      <c r="H17" s="16">
        <v>42314</v>
      </c>
      <c r="I17" s="13">
        <v>203</v>
      </c>
      <c r="J17" s="13">
        <f t="shared" si="1"/>
        <v>253.75</v>
      </c>
      <c r="K17" s="6"/>
    </row>
    <row r="18" spans="1:11" ht="24" x14ac:dyDescent="0.25">
      <c r="A18" s="3">
        <v>11</v>
      </c>
      <c r="B18" s="14" t="s">
        <v>31</v>
      </c>
      <c r="C18" s="15" t="str">
        <f>"133/14"</f>
        <v>133/14</v>
      </c>
      <c r="D18" s="15" t="str">
        <f t="shared" si="0"/>
        <v>ADRIATIC SERVIS</v>
      </c>
      <c r="E18" s="16">
        <v>42003</v>
      </c>
      <c r="F18" s="16"/>
      <c r="G18" s="13">
        <v>6052.16</v>
      </c>
      <c r="H18" s="16"/>
      <c r="I18" s="13">
        <v>5067.78</v>
      </c>
      <c r="J18" s="13">
        <f t="shared" si="1"/>
        <v>6334.7249999999995</v>
      </c>
      <c r="K18" s="6"/>
    </row>
    <row r="19" spans="1:11" ht="24" x14ac:dyDescent="0.25">
      <c r="A19" s="3">
        <v>12</v>
      </c>
      <c r="B19" s="14" t="s">
        <v>30</v>
      </c>
      <c r="C19" s="15" t="str">
        <f>"865/2015"</f>
        <v>865/2015</v>
      </c>
      <c r="D19" s="15" t="str">
        <f t="shared" si="0"/>
        <v>ADRIATIC SERVIS</v>
      </c>
      <c r="E19" s="16">
        <v>42310</v>
      </c>
      <c r="F19" s="16">
        <v>42314</v>
      </c>
      <c r="G19" s="13">
        <v>438</v>
      </c>
      <c r="H19" s="16">
        <v>42314</v>
      </c>
      <c r="I19" s="13">
        <v>438</v>
      </c>
      <c r="J19" s="13">
        <f t="shared" si="1"/>
        <v>547.5</v>
      </c>
      <c r="K19" s="6"/>
    </row>
    <row r="20" spans="1:11" ht="24" x14ac:dyDescent="0.25">
      <c r="A20" s="3">
        <v>13</v>
      </c>
      <c r="B20" s="14" t="s">
        <v>55</v>
      </c>
      <c r="C20" s="15" t="str">
        <f>"O-15/1420"</f>
        <v>O-15/1420</v>
      </c>
      <c r="D20" s="15" t="str">
        <f t="shared" si="0"/>
        <v>ADRIATIC SERVIS</v>
      </c>
      <c r="E20" s="16">
        <v>42220</v>
      </c>
      <c r="F20" s="16">
        <v>42251</v>
      </c>
      <c r="G20" s="13">
        <v>534.72</v>
      </c>
      <c r="H20" s="16">
        <v>42251</v>
      </c>
      <c r="I20" s="13">
        <v>534.72</v>
      </c>
      <c r="J20" s="13">
        <f t="shared" si="1"/>
        <v>668.40000000000009</v>
      </c>
      <c r="K20" s="6"/>
    </row>
    <row r="21" spans="1:11" x14ac:dyDescent="0.25">
      <c r="A21" s="3">
        <v>14</v>
      </c>
      <c r="B21" s="14" t="s">
        <v>25</v>
      </c>
      <c r="C21" s="15" t="str">
        <f>"2/2014-156"</f>
        <v>2/2014-156</v>
      </c>
      <c r="D21" s="15" t="str">
        <f t="shared" si="0"/>
        <v>ADRIATIC SERVIS</v>
      </c>
      <c r="E21" s="16">
        <v>42086</v>
      </c>
      <c r="F21" s="16">
        <v>42338</v>
      </c>
      <c r="G21" s="13">
        <v>14308.02</v>
      </c>
      <c r="H21" s="16">
        <v>42338</v>
      </c>
      <c r="I21" s="13">
        <v>12652.48</v>
      </c>
      <c r="J21" s="13">
        <f t="shared" si="1"/>
        <v>15815.599999999999</v>
      </c>
      <c r="K21" s="6"/>
    </row>
    <row r="22" spans="1:11" x14ac:dyDescent="0.25">
      <c r="A22" s="3">
        <v>15</v>
      </c>
      <c r="B22" s="14" t="s">
        <v>25</v>
      </c>
      <c r="C22" s="15" t="str">
        <f>"2/2014-154"</f>
        <v>2/2014-154</v>
      </c>
      <c r="D22" s="15" t="str">
        <f t="shared" si="0"/>
        <v>ADRIATIC SERVIS</v>
      </c>
      <c r="E22" s="16">
        <v>42086</v>
      </c>
      <c r="F22" s="16">
        <v>42338</v>
      </c>
      <c r="G22" s="13">
        <v>5592.5</v>
      </c>
      <c r="H22" s="16">
        <v>42338</v>
      </c>
      <c r="I22" s="13">
        <v>4962.91</v>
      </c>
      <c r="J22" s="13">
        <f t="shared" si="1"/>
        <v>6203.6374999999998</v>
      </c>
      <c r="K22" s="6"/>
    </row>
    <row r="23" spans="1:11" x14ac:dyDescent="0.25">
      <c r="A23" s="3">
        <v>16</v>
      </c>
      <c r="B23" s="14" t="s">
        <v>51</v>
      </c>
      <c r="C23" s="15" t="str">
        <f>"000356/2015"</f>
        <v>000356/2015</v>
      </c>
      <c r="D23" s="15" t="str">
        <f t="shared" si="0"/>
        <v>ADRIATIC SERVIS</v>
      </c>
      <c r="E23" s="16">
        <v>42051</v>
      </c>
      <c r="F23" s="16">
        <v>42369</v>
      </c>
      <c r="G23" s="13">
        <v>1213</v>
      </c>
      <c r="H23" s="16">
        <v>42369</v>
      </c>
      <c r="I23" s="13">
        <v>1213</v>
      </c>
      <c r="J23" s="13">
        <f t="shared" si="1"/>
        <v>1516.25</v>
      </c>
      <c r="K23" s="6"/>
    </row>
    <row r="24" spans="1:11" ht="24" x14ac:dyDescent="0.25">
      <c r="A24" s="3">
        <v>17</v>
      </c>
      <c r="B24" s="14" t="s">
        <v>43</v>
      </c>
      <c r="C24" s="15" t="str">
        <f>"2/2014-106"</f>
        <v>2/2014-106</v>
      </c>
      <c r="D24" s="15" t="str">
        <f t="shared" si="0"/>
        <v>ADRIATIC SERVIS</v>
      </c>
      <c r="E24" s="16">
        <v>41992</v>
      </c>
      <c r="F24" s="16">
        <v>42338</v>
      </c>
      <c r="G24" s="13">
        <v>2283.4899999999998</v>
      </c>
      <c r="H24" s="16">
        <v>42338</v>
      </c>
      <c r="I24" s="13">
        <v>2283.54</v>
      </c>
      <c r="J24" s="13">
        <f t="shared" si="1"/>
        <v>2854.4250000000002</v>
      </c>
      <c r="K24" s="6"/>
    </row>
    <row r="25" spans="1:11" ht="24" x14ac:dyDescent="0.25">
      <c r="A25" s="3">
        <v>18</v>
      </c>
      <c r="B25" s="14" t="s">
        <v>31</v>
      </c>
      <c r="C25" s="15" t="str">
        <f>"122/14"</f>
        <v>122/14</v>
      </c>
      <c r="D25" s="15" t="str">
        <f t="shared" si="0"/>
        <v>ADRIATIC SERVIS</v>
      </c>
      <c r="E25" s="16">
        <v>41997</v>
      </c>
      <c r="F25" s="16">
        <v>42284</v>
      </c>
      <c r="G25" s="13">
        <v>29266.639999999999</v>
      </c>
      <c r="H25" s="16">
        <v>42284</v>
      </c>
      <c r="I25" s="13">
        <v>25599.86</v>
      </c>
      <c r="J25" s="13">
        <f t="shared" si="1"/>
        <v>31999.825000000001</v>
      </c>
      <c r="K25" s="6"/>
    </row>
    <row r="26" spans="1:11" ht="24" x14ac:dyDescent="0.25">
      <c r="A26" s="3">
        <v>19</v>
      </c>
      <c r="B26" s="14" t="s">
        <v>31</v>
      </c>
      <c r="C26" s="15" t="str">
        <f>"131/14"</f>
        <v>131/14</v>
      </c>
      <c r="D26" s="15" t="str">
        <f t="shared" si="0"/>
        <v>ADRIATIC SERVIS</v>
      </c>
      <c r="E26" s="16">
        <v>41997</v>
      </c>
      <c r="F26" s="16">
        <v>42284</v>
      </c>
      <c r="G26" s="13">
        <v>9515.08</v>
      </c>
      <c r="H26" s="16">
        <v>42284</v>
      </c>
      <c r="I26" s="13">
        <v>8227.2000000000007</v>
      </c>
      <c r="J26" s="13">
        <f t="shared" si="1"/>
        <v>10284</v>
      </c>
      <c r="K26" s="6"/>
    </row>
    <row r="27" spans="1:11" x14ac:dyDescent="0.25">
      <c r="A27" s="3">
        <v>20</v>
      </c>
      <c r="B27" s="14" t="s">
        <v>49</v>
      </c>
      <c r="C27" s="15" t="str">
        <f>"001105/2014"</f>
        <v>001105/2014</v>
      </c>
      <c r="D27" s="15" t="str">
        <f t="shared" si="0"/>
        <v>ADRIATIC SERVIS</v>
      </c>
      <c r="E27" s="16">
        <v>41991</v>
      </c>
      <c r="F27" s="16">
        <v>42094</v>
      </c>
      <c r="G27" s="13">
        <v>8406.2000000000007</v>
      </c>
      <c r="H27" s="16">
        <v>42094</v>
      </c>
      <c r="I27" s="13">
        <v>8406.2000000000007</v>
      </c>
      <c r="J27" s="13">
        <f t="shared" si="1"/>
        <v>10507.75</v>
      </c>
      <c r="K27" s="6"/>
    </row>
    <row r="28" spans="1:11" x14ac:dyDescent="0.25">
      <c r="A28" s="3">
        <v>21</v>
      </c>
      <c r="B28" s="14" t="s">
        <v>49</v>
      </c>
      <c r="C28" s="15" t="str">
        <f>"001104/2014"</f>
        <v>001104/2014</v>
      </c>
      <c r="D28" s="15" t="str">
        <f t="shared" si="0"/>
        <v>ADRIATIC SERVIS</v>
      </c>
      <c r="E28" s="16">
        <v>41991</v>
      </c>
      <c r="F28" s="16">
        <v>42094</v>
      </c>
      <c r="G28" s="13">
        <v>1466.3</v>
      </c>
      <c r="H28" s="16">
        <v>42094</v>
      </c>
      <c r="I28" s="13">
        <v>1466.3</v>
      </c>
      <c r="J28" s="13">
        <f t="shared" si="1"/>
        <v>1832.875</v>
      </c>
      <c r="K28" s="6"/>
    </row>
    <row r="29" spans="1:11" x14ac:dyDescent="0.25">
      <c r="A29" s="3">
        <v>22</v>
      </c>
      <c r="B29" s="14" t="s">
        <v>49</v>
      </c>
      <c r="C29" s="15" t="str">
        <f>"001099/2014"</f>
        <v>001099/2014</v>
      </c>
      <c r="D29" s="15" t="str">
        <f t="shared" si="0"/>
        <v>ADRIATIC SERVIS</v>
      </c>
      <c r="E29" s="16">
        <v>41990</v>
      </c>
      <c r="F29" s="16">
        <v>42094</v>
      </c>
      <c r="G29" s="13">
        <v>355</v>
      </c>
      <c r="H29" s="16">
        <v>42094</v>
      </c>
      <c r="I29" s="13">
        <v>355.68</v>
      </c>
      <c r="J29" s="13">
        <f t="shared" si="1"/>
        <v>444.6</v>
      </c>
      <c r="K29" s="6"/>
    </row>
    <row r="30" spans="1:11" ht="24" x14ac:dyDescent="0.25">
      <c r="A30" s="3">
        <v>23</v>
      </c>
      <c r="B30" s="14" t="s">
        <v>31</v>
      </c>
      <c r="C30" s="15" t="str">
        <f>"140/14"</f>
        <v>140/14</v>
      </c>
      <c r="D30" s="15" t="str">
        <f t="shared" si="0"/>
        <v>ADRIATIC SERVIS</v>
      </c>
      <c r="E30" s="16">
        <v>41997</v>
      </c>
      <c r="F30" s="16">
        <v>42284</v>
      </c>
      <c r="G30" s="13">
        <v>5948.5</v>
      </c>
      <c r="H30" s="16">
        <v>42284</v>
      </c>
      <c r="I30" s="13">
        <v>5385.19</v>
      </c>
      <c r="J30" s="13">
        <f t="shared" si="1"/>
        <v>6731.4874999999993</v>
      </c>
      <c r="K30" s="6"/>
    </row>
    <row r="31" spans="1:11" ht="24" x14ac:dyDescent="0.25">
      <c r="A31" s="3">
        <v>24</v>
      </c>
      <c r="B31" s="14" t="s">
        <v>31</v>
      </c>
      <c r="C31" s="15" t="str">
        <f>"139/14"</f>
        <v>139/14</v>
      </c>
      <c r="D31" s="15" t="str">
        <f t="shared" si="0"/>
        <v>ADRIATIC SERVIS</v>
      </c>
      <c r="E31" s="16">
        <v>41997</v>
      </c>
      <c r="F31" s="16">
        <v>42284</v>
      </c>
      <c r="G31" s="13">
        <v>7523.43</v>
      </c>
      <c r="H31" s="16">
        <v>42284</v>
      </c>
      <c r="I31" s="13">
        <v>7051.11</v>
      </c>
      <c r="J31" s="13">
        <f t="shared" si="1"/>
        <v>8813.8874999999989</v>
      </c>
      <c r="K31" s="6"/>
    </row>
    <row r="32" spans="1:11" ht="24" x14ac:dyDescent="0.25">
      <c r="A32" s="3">
        <v>25</v>
      </c>
      <c r="B32" s="14" t="s">
        <v>31</v>
      </c>
      <c r="C32" s="15" t="str">
        <f>"138/14"</f>
        <v>138/14</v>
      </c>
      <c r="D32" s="15" t="str">
        <f t="shared" si="0"/>
        <v>ADRIATIC SERVIS</v>
      </c>
      <c r="E32" s="16">
        <v>41997</v>
      </c>
      <c r="F32" s="16">
        <v>42284</v>
      </c>
      <c r="G32" s="13">
        <v>9777.56</v>
      </c>
      <c r="H32" s="16">
        <v>42284</v>
      </c>
      <c r="I32" s="13">
        <v>8477.02</v>
      </c>
      <c r="J32" s="13">
        <f t="shared" si="1"/>
        <v>10596.275000000001</v>
      </c>
      <c r="K32" s="6"/>
    </row>
    <row r="33" spans="1:11" ht="24" x14ac:dyDescent="0.25">
      <c r="A33" s="3">
        <v>26</v>
      </c>
      <c r="B33" s="14" t="s">
        <v>31</v>
      </c>
      <c r="C33" s="15" t="str">
        <f>"137/14"</f>
        <v>137/14</v>
      </c>
      <c r="D33" s="15" t="str">
        <f t="shared" si="0"/>
        <v>ADRIATIC SERVIS</v>
      </c>
      <c r="E33" s="16">
        <v>41997</v>
      </c>
      <c r="F33" s="16">
        <v>42284</v>
      </c>
      <c r="G33" s="13">
        <v>6355.52</v>
      </c>
      <c r="H33" s="16">
        <v>42284</v>
      </c>
      <c r="I33" s="13">
        <v>5915.92</v>
      </c>
      <c r="J33" s="13">
        <f t="shared" si="1"/>
        <v>7394.9</v>
      </c>
      <c r="K33" s="6"/>
    </row>
    <row r="34" spans="1:11" ht="24" x14ac:dyDescent="0.25">
      <c r="A34" s="3">
        <v>27</v>
      </c>
      <c r="B34" s="14" t="s">
        <v>31</v>
      </c>
      <c r="C34" s="15" t="str">
        <f>"136/14"</f>
        <v>136/14</v>
      </c>
      <c r="D34" s="15" t="str">
        <f t="shared" si="0"/>
        <v>ADRIATIC SERVIS</v>
      </c>
      <c r="E34" s="16">
        <v>41997</v>
      </c>
      <c r="F34" s="16">
        <v>42284</v>
      </c>
      <c r="G34" s="13">
        <v>8235.06</v>
      </c>
      <c r="H34" s="16">
        <v>42284</v>
      </c>
      <c r="I34" s="13">
        <v>7262.78</v>
      </c>
      <c r="J34" s="13">
        <f t="shared" si="1"/>
        <v>9078.4750000000004</v>
      </c>
      <c r="K34" s="6"/>
    </row>
    <row r="35" spans="1:11" ht="24" x14ac:dyDescent="0.25">
      <c r="A35" s="3">
        <v>28</v>
      </c>
      <c r="B35" s="14" t="s">
        <v>31</v>
      </c>
      <c r="C35" s="15" t="str">
        <f>"135/14"</f>
        <v>135/14</v>
      </c>
      <c r="D35" s="15" t="str">
        <f t="shared" si="0"/>
        <v>ADRIATIC SERVIS</v>
      </c>
      <c r="E35" s="16">
        <v>41997</v>
      </c>
      <c r="F35" s="16">
        <v>42284</v>
      </c>
      <c r="G35" s="13">
        <v>6709.32</v>
      </c>
      <c r="H35" s="16">
        <v>42284</v>
      </c>
      <c r="I35" s="13">
        <v>5547.76</v>
      </c>
      <c r="J35" s="13">
        <f t="shared" si="1"/>
        <v>6934.7000000000007</v>
      </c>
      <c r="K35" s="6"/>
    </row>
    <row r="36" spans="1:11" ht="24" x14ac:dyDescent="0.25">
      <c r="A36" s="3">
        <v>29</v>
      </c>
      <c r="B36" s="14" t="s">
        <v>31</v>
      </c>
      <c r="C36" s="15" t="str">
        <f>"134/14"</f>
        <v>134/14</v>
      </c>
      <c r="D36" s="15" t="str">
        <f t="shared" si="0"/>
        <v>ADRIATIC SERVIS</v>
      </c>
      <c r="E36" s="16">
        <v>41997</v>
      </c>
      <c r="F36" s="16">
        <v>42284</v>
      </c>
      <c r="G36" s="13">
        <v>17390.68</v>
      </c>
      <c r="H36" s="16">
        <v>42284</v>
      </c>
      <c r="I36" s="13">
        <v>14462.9</v>
      </c>
      <c r="J36" s="13">
        <f t="shared" si="1"/>
        <v>18078.625</v>
      </c>
      <c r="K36" s="6"/>
    </row>
    <row r="37" spans="1:11" ht="24" x14ac:dyDescent="0.25">
      <c r="A37" s="3">
        <v>30</v>
      </c>
      <c r="B37" s="14" t="s">
        <v>31</v>
      </c>
      <c r="C37" s="15" t="str">
        <f>"132/14"</f>
        <v>132/14</v>
      </c>
      <c r="D37" s="15" t="str">
        <f t="shared" si="0"/>
        <v>ADRIATIC SERVIS</v>
      </c>
      <c r="E37" s="16">
        <v>41997</v>
      </c>
      <c r="F37" s="16">
        <v>42284</v>
      </c>
      <c r="G37" s="13">
        <v>7332.96</v>
      </c>
      <c r="H37" s="16">
        <v>42284</v>
      </c>
      <c r="I37" s="13">
        <v>5971.14</v>
      </c>
      <c r="J37" s="13">
        <f t="shared" si="1"/>
        <v>7463.9250000000002</v>
      </c>
      <c r="K37" s="6"/>
    </row>
    <row r="38" spans="1:11" ht="24" x14ac:dyDescent="0.25">
      <c r="A38" s="3">
        <v>31</v>
      </c>
      <c r="B38" s="14" t="s">
        <v>31</v>
      </c>
      <c r="C38" s="15" t="str">
        <f>"130/14"</f>
        <v>130/14</v>
      </c>
      <c r="D38" s="15" t="str">
        <f t="shared" si="0"/>
        <v>ADRIATIC SERVIS</v>
      </c>
      <c r="E38" s="16">
        <v>41997</v>
      </c>
      <c r="F38" s="16">
        <v>42284</v>
      </c>
      <c r="G38" s="13">
        <v>9301.56</v>
      </c>
      <c r="H38" s="16">
        <v>42284</v>
      </c>
      <c r="I38" s="13">
        <v>8220.44</v>
      </c>
      <c r="J38" s="13">
        <f t="shared" si="1"/>
        <v>10275.550000000001</v>
      </c>
      <c r="K38" s="6"/>
    </row>
    <row r="39" spans="1:11" ht="24" x14ac:dyDescent="0.25">
      <c r="A39" s="3">
        <v>32</v>
      </c>
      <c r="B39" s="14" t="s">
        <v>31</v>
      </c>
      <c r="C39" s="15" t="str">
        <f>"128/14"</f>
        <v>128/14</v>
      </c>
      <c r="D39" s="15" t="str">
        <f t="shared" si="0"/>
        <v>ADRIATIC SERVIS</v>
      </c>
      <c r="E39" s="16">
        <v>41997</v>
      </c>
      <c r="F39" s="16">
        <v>42284</v>
      </c>
      <c r="G39" s="13">
        <v>7710.71</v>
      </c>
      <c r="H39" s="16">
        <v>42284</v>
      </c>
      <c r="I39" s="13">
        <v>7314.58</v>
      </c>
      <c r="J39" s="13">
        <f t="shared" si="1"/>
        <v>9143.2250000000004</v>
      </c>
      <c r="K39" s="6"/>
    </row>
    <row r="40" spans="1:11" ht="24" x14ac:dyDescent="0.25">
      <c r="A40" s="3">
        <v>33</v>
      </c>
      <c r="B40" s="14" t="s">
        <v>31</v>
      </c>
      <c r="C40" s="15" t="str">
        <f>"124/14"</f>
        <v>124/14</v>
      </c>
      <c r="D40" s="15" t="str">
        <f t="shared" si="0"/>
        <v>ADRIATIC SERVIS</v>
      </c>
      <c r="E40" s="16">
        <v>41997</v>
      </c>
      <c r="F40" s="16">
        <v>42284</v>
      </c>
      <c r="G40" s="13">
        <v>15215.8</v>
      </c>
      <c r="H40" s="16">
        <v>42284</v>
      </c>
      <c r="I40" s="13">
        <v>13013.42</v>
      </c>
      <c r="J40" s="13">
        <f t="shared" si="1"/>
        <v>16266.775</v>
      </c>
      <c r="K40" s="6"/>
    </row>
    <row r="41" spans="1:11" ht="24" x14ac:dyDescent="0.25">
      <c r="A41" s="3">
        <v>34</v>
      </c>
      <c r="B41" s="14" t="s">
        <v>31</v>
      </c>
      <c r="C41" s="15" t="str">
        <f>"123/14"</f>
        <v>123/14</v>
      </c>
      <c r="D41" s="15" t="str">
        <f t="shared" si="0"/>
        <v>ADRIATIC SERVIS</v>
      </c>
      <c r="E41" s="16">
        <v>41997</v>
      </c>
      <c r="F41" s="16">
        <v>42284</v>
      </c>
      <c r="G41" s="13">
        <v>78063.47</v>
      </c>
      <c r="H41" s="16">
        <v>42284</v>
      </c>
      <c r="I41" s="13">
        <v>69121.53</v>
      </c>
      <c r="J41" s="13">
        <f t="shared" si="1"/>
        <v>86401.912500000006</v>
      </c>
      <c r="K41" s="6"/>
    </row>
    <row r="42" spans="1:11" x14ac:dyDescent="0.25">
      <c r="A42" s="3">
        <v>35</v>
      </c>
      <c r="B42" s="14" t="s">
        <v>25</v>
      </c>
      <c r="C42" s="15" t="str">
        <f>"2/2014-124"</f>
        <v>2/2014-124</v>
      </c>
      <c r="D42" s="15" t="str">
        <f t="shared" si="0"/>
        <v>ADRIATIC SERVIS</v>
      </c>
      <c r="E42" s="16">
        <v>42004</v>
      </c>
      <c r="F42" s="16">
        <v>42338</v>
      </c>
      <c r="G42" s="13">
        <v>7686.63</v>
      </c>
      <c r="H42" s="16">
        <v>42338</v>
      </c>
      <c r="I42" s="13">
        <v>3684.56</v>
      </c>
      <c r="J42" s="13">
        <f t="shared" si="1"/>
        <v>4605.7</v>
      </c>
      <c r="K42" s="6"/>
    </row>
    <row r="43" spans="1:11" x14ac:dyDescent="0.25">
      <c r="A43" s="3">
        <v>36</v>
      </c>
      <c r="B43" s="14" t="s">
        <v>25</v>
      </c>
      <c r="C43" s="15" t="str">
        <f>"2/2014-50"</f>
        <v>2/2014-50</v>
      </c>
      <c r="D43" s="15" t="str">
        <f t="shared" si="0"/>
        <v>ADRIATIC SERVIS</v>
      </c>
      <c r="E43" s="16">
        <v>41955</v>
      </c>
      <c r="F43" s="16">
        <v>42338</v>
      </c>
      <c r="G43" s="13">
        <v>2539.16</v>
      </c>
      <c r="H43" s="16">
        <v>42338</v>
      </c>
      <c r="I43" s="13">
        <v>2220.7199999999998</v>
      </c>
      <c r="J43" s="13">
        <f t="shared" si="1"/>
        <v>2775.8999999999996</v>
      </c>
      <c r="K43" s="6"/>
    </row>
    <row r="44" spans="1:11" x14ac:dyDescent="0.25">
      <c r="A44" s="3">
        <v>37</v>
      </c>
      <c r="B44" s="14" t="s">
        <v>44</v>
      </c>
      <c r="C44" s="15" t="str">
        <f>"2/2014-84"</f>
        <v>2/2014-84</v>
      </c>
      <c r="D44" s="15" t="str">
        <f t="shared" si="0"/>
        <v>ADRIATIC SERVIS</v>
      </c>
      <c r="E44" s="16">
        <v>41968</v>
      </c>
      <c r="F44" s="16">
        <v>42339</v>
      </c>
      <c r="G44" s="13">
        <v>221158.74</v>
      </c>
      <c r="H44" s="16">
        <v>42339</v>
      </c>
      <c r="I44" s="13">
        <v>199394.78</v>
      </c>
      <c r="J44" s="13">
        <f t="shared" si="1"/>
        <v>249243.47500000001</v>
      </c>
      <c r="K44" s="6"/>
    </row>
    <row r="45" spans="1:11" x14ac:dyDescent="0.25">
      <c r="A45" s="3">
        <v>38</v>
      </c>
      <c r="B45" s="14" t="s">
        <v>25</v>
      </c>
      <c r="C45" s="15" t="str">
        <f>"2/2014-52"</f>
        <v>2/2014-52</v>
      </c>
      <c r="D45" s="15" t="str">
        <f t="shared" si="0"/>
        <v>ADRIATIC SERVIS</v>
      </c>
      <c r="E45" s="16">
        <v>41955</v>
      </c>
      <c r="F45" s="16">
        <v>42338</v>
      </c>
      <c r="G45" s="13">
        <v>3293.38</v>
      </c>
      <c r="H45" s="16">
        <v>42338</v>
      </c>
      <c r="I45" s="13">
        <v>2832.36</v>
      </c>
      <c r="J45" s="13">
        <f t="shared" si="1"/>
        <v>3540.4500000000003</v>
      </c>
      <c r="K45" s="6"/>
    </row>
    <row r="46" spans="1:11" x14ac:dyDescent="0.25">
      <c r="A46" s="3">
        <v>39</v>
      </c>
      <c r="B46" s="14" t="s">
        <v>25</v>
      </c>
      <c r="C46" s="15" t="str">
        <f>"2/2014-56"</f>
        <v>2/2014-56</v>
      </c>
      <c r="D46" s="15" t="str">
        <f t="shared" si="0"/>
        <v>ADRIATIC SERVIS</v>
      </c>
      <c r="E46" s="16">
        <v>41955</v>
      </c>
      <c r="F46" s="16">
        <v>42338</v>
      </c>
      <c r="G46" s="13">
        <v>7714.87</v>
      </c>
      <c r="H46" s="16">
        <v>42338</v>
      </c>
      <c r="I46" s="13">
        <v>7370.43</v>
      </c>
      <c r="J46" s="13">
        <f t="shared" si="1"/>
        <v>9213.0375000000004</v>
      </c>
      <c r="K46" s="6"/>
    </row>
    <row r="47" spans="1:11" x14ac:dyDescent="0.25">
      <c r="A47" s="3">
        <v>40</v>
      </c>
      <c r="B47" s="14" t="s">
        <v>44</v>
      </c>
      <c r="C47" s="15" t="str">
        <f>"2/2014-76"</f>
        <v>2/2014-76</v>
      </c>
      <c r="D47" s="15" t="str">
        <f t="shared" si="0"/>
        <v>ADRIATIC SERVIS</v>
      </c>
      <c r="E47" s="16">
        <v>41968</v>
      </c>
      <c r="F47" s="16">
        <v>42339</v>
      </c>
      <c r="G47" s="13">
        <v>87517.2</v>
      </c>
      <c r="H47" s="16">
        <v>42339</v>
      </c>
      <c r="I47" s="13">
        <v>81294.7</v>
      </c>
      <c r="J47" s="13">
        <f t="shared" si="1"/>
        <v>101618.375</v>
      </c>
      <c r="K47" s="6"/>
    </row>
    <row r="48" spans="1:11" ht="24" x14ac:dyDescent="0.25">
      <c r="A48" s="3">
        <v>41</v>
      </c>
      <c r="B48" s="14" t="s">
        <v>61</v>
      </c>
      <c r="C48" s="15" t="str">
        <f>"2/2014-119"</f>
        <v>2/2014-119</v>
      </c>
      <c r="D48" s="15" t="str">
        <f t="shared" si="0"/>
        <v>ADRIATIC SERVIS</v>
      </c>
      <c r="E48" s="16">
        <v>41960</v>
      </c>
      <c r="F48" s="16">
        <v>42284</v>
      </c>
      <c r="G48" s="13">
        <v>16343.4</v>
      </c>
      <c r="H48" s="16">
        <v>42284</v>
      </c>
      <c r="I48" s="13">
        <v>15139.2</v>
      </c>
      <c r="J48" s="13">
        <f t="shared" si="1"/>
        <v>18924</v>
      </c>
      <c r="K48" s="6"/>
    </row>
    <row r="49" spans="1:11" x14ac:dyDescent="0.25">
      <c r="A49" s="3">
        <v>42</v>
      </c>
      <c r="B49" s="14" t="s">
        <v>44</v>
      </c>
      <c r="C49" s="15" t="str">
        <f>"2/2014-85"</f>
        <v>2/2014-85</v>
      </c>
      <c r="D49" s="15" t="str">
        <f t="shared" si="0"/>
        <v>ADRIATIC SERVIS</v>
      </c>
      <c r="E49" s="16">
        <v>41968</v>
      </c>
      <c r="F49" s="16">
        <v>42339</v>
      </c>
      <c r="G49" s="13">
        <v>105737.83</v>
      </c>
      <c r="H49" s="16">
        <v>42339</v>
      </c>
      <c r="I49" s="13">
        <v>93117.47</v>
      </c>
      <c r="J49" s="13">
        <f t="shared" si="1"/>
        <v>116396.83749999999</v>
      </c>
      <c r="K49" s="6"/>
    </row>
    <row r="50" spans="1:11" x14ac:dyDescent="0.25">
      <c r="A50" s="3">
        <v>43</v>
      </c>
      <c r="B50" s="14" t="s">
        <v>25</v>
      </c>
      <c r="C50" s="15" t="str">
        <f>"2/2014-47"</f>
        <v>2/2014-47</v>
      </c>
      <c r="D50" s="15" t="str">
        <f t="shared" si="0"/>
        <v>ADRIATIC SERVIS</v>
      </c>
      <c r="E50" s="16">
        <v>41955</v>
      </c>
      <c r="F50" s="16">
        <v>42338</v>
      </c>
      <c r="G50" s="13">
        <v>16518.71</v>
      </c>
      <c r="H50" s="16">
        <v>42338</v>
      </c>
      <c r="I50" s="13">
        <v>15570.92</v>
      </c>
      <c r="J50" s="13">
        <f t="shared" si="1"/>
        <v>19463.650000000001</v>
      </c>
      <c r="K50" s="6"/>
    </row>
    <row r="51" spans="1:11" ht="24" x14ac:dyDescent="0.25">
      <c r="A51" s="3">
        <v>44</v>
      </c>
      <c r="B51" s="14" t="s">
        <v>55</v>
      </c>
      <c r="C51" s="15" t="str">
        <f>"71-55-14-2AS-1"</f>
        <v>71-55-14-2AS-1</v>
      </c>
      <c r="D51" s="15" t="str">
        <f t="shared" si="0"/>
        <v>ADRIATIC SERVIS</v>
      </c>
      <c r="E51" s="16">
        <v>41971</v>
      </c>
      <c r="F51" s="16">
        <v>42321</v>
      </c>
      <c r="G51" s="13">
        <v>79141.88</v>
      </c>
      <c r="H51" s="16">
        <v>42321</v>
      </c>
      <c r="I51" s="13">
        <v>80331.929999999993</v>
      </c>
      <c r="J51" s="13">
        <f t="shared" si="1"/>
        <v>100414.91249999999</v>
      </c>
      <c r="K51" s="6"/>
    </row>
    <row r="52" spans="1:11" x14ac:dyDescent="0.25">
      <c r="A52" s="3">
        <v>45</v>
      </c>
      <c r="B52" s="14" t="s">
        <v>44</v>
      </c>
      <c r="C52" s="15" t="str">
        <f>"2/2014-89"</f>
        <v>2/2014-89</v>
      </c>
      <c r="D52" s="15" t="str">
        <f t="shared" si="0"/>
        <v>ADRIATIC SERVIS</v>
      </c>
      <c r="E52" s="16">
        <v>41968</v>
      </c>
      <c r="F52" s="16">
        <v>42339</v>
      </c>
      <c r="G52" s="13">
        <v>79554.28</v>
      </c>
      <c r="H52" s="16">
        <v>42339</v>
      </c>
      <c r="I52" s="13">
        <v>71634.740000000005</v>
      </c>
      <c r="J52" s="13">
        <f t="shared" si="1"/>
        <v>89543.425000000003</v>
      </c>
      <c r="K52" s="6"/>
    </row>
    <row r="53" spans="1:11" x14ac:dyDescent="0.25">
      <c r="A53" s="3">
        <v>46</v>
      </c>
      <c r="B53" s="14" t="s">
        <v>44</v>
      </c>
      <c r="C53" s="15" t="str">
        <f>"2/2014-86"</f>
        <v>2/2014-86</v>
      </c>
      <c r="D53" s="15" t="str">
        <f t="shared" si="0"/>
        <v>ADRIATIC SERVIS</v>
      </c>
      <c r="E53" s="16">
        <v>41968</v>
      </c>
      <c r="F53" s="16">
        <v>42339</v>
      </c>
      <c r="G53" s="13">
        <v>91449.12</v>
      </c>
      <c r="H53" s="16">
        <v>42339</v>
      </c>
      <c r="I53" s="13">
        <v>77965.440000000002</v>
      </c>
      <c r="J53" s="13">
        <f t="shared" si="1"/>
        <v>97456.8</v>
      </c>
      <c r="K53" s="6"/>
    </row>
    <row r="54" spans="1:11" x14ac:dyDescent="0.25">
      <c r="A54" s="3">
        <v>47</v>
      </c>
      <c r="B54" s="14" t="s">
        <v>25</v>
      </c>
      <c r="C54" s="15" t="str">
        <f>"2/2014-48"</f>
        <v>2/2014-48</v>
      </c>
      <c r="D54" s="15" t="str">
        <f t="shared" si="0"/>
        <v>ADRIATIC SERVIS</v>
      </c>
      <c r="E54" s="16">
        <v>41955</v>
      </c>
      <c r="F54" s="16">
        <v>42338</v>
      </c>
      <c r="G54" s="13">
        <v>9651.25</v>
      </c>
      <c r="H54" s="16">
        <v>42338</v>
      </c>
      <c r="I54" s="13">
        <v>8670.68</v>
      </c>
      <c r="J54" s="13">
        <f t="shared" si="1"/>
        <v>10838.35</v>
      </c>
      <c r="K54" s="6"/>
    </row>
    <row r="55" spans="1:11" x14ac:dyDescent="0.25">
      <c r="A55" s="3">
        <v>48</v>
      </c>
      <c r="B55" s="14" t="s">
        <v>25</v>
      </c>
      <c r="C55" s="15" t="str">
        <f>"2/2014-53"</f>
        <v>2/2014-53</v>
      </c>
      <c r="D55" s="15" t="str">
        <f t="shared" si="0"/>
        <v>ADRIATIC SERVIS</v>
      </c>
      <c r="E55" s="16">
        <v>41955</v>
      </c>
      <c r="F55" s="16">
        <v>42338</v>
      </c>
      <c r="G55" s="13">
        <v>13219.92</v>
      </c>
      <c r="H55" s="16">
        <v>42338</v>
      </c>
      <c r="I55" s="13">
        <v>12407.34</v>
      </c>
      <c r="J55" s="13">
        <f t="shared" si="1"/>
        <v>15509.174999999999</v>
      </c>
      <c r="K55" s="6"/>
    </row>
    <row r="56" spans="1:11" x14ac:dyDescent="0.25">
      <c r="A56" s="3">
        <v>49</v>
      </c>
      <c r="B56" s="14" t="s">
        <v>44</v>
      </c>
      <c r="C56" s="15" t="str">
        <f>"2/2014-87"</f>
        <v>2/2014-87</v>
      </c>
      <c r="D56" s="15" t="str">
        <f t="shared" si="0"/>
        <v>ADRIATIC SERVIS</v>
      </c>
      <c r="E56" s="16">
        <v>41968</v>
      </c>
      <c r="F56" s="16">
        <v>42339</v>
      </c>
      <c r="G56" s="13">
        <v>110665.16</v>
      </c>
      <c r="H56" s="16">
        <v>42339</v>
      </c>
      <c r="I56" s="13">
        <v>105854.64</v>
      </c>
      <c r="J56" s="13">
        <f t="shared" si="1"/>
        <v>132318.29999999999</v>
      </c>
      <c r="K56" s="6"/>
    </row>
    <row r="57" spans="1:11" x14ac:dyDescent="0.25">
      <c r="A57" s="3">
        <v>50</v>
      </c>
      <c r="B57" s="14" t="s">
        <v>25</v>
      </c>
      <c r="C57" s="15" t="str">
        <f>"2/2014-54"</f>
        <v>2/2014-54</v>
      </c>
      <c r="D57" s="15" t="str">
        <f t="shared" si="0"/>
        <v>ADRIATIC SERVIS</v>
      </c>
      <c r="E57" s="16">
        <v>41955</v>
      </c>
      <c r="F57" s="16">
        <v>42338</v>
      </c>
      <c r="G57" s="13">
        <v>11573.15</v>
      </c>
      <c r="H57" s="16">
        <v>42338</v>
      </c>
      <c r="I57" s="13">
        <v>12054</v>
      </c>
      <c r="J57" s="13">
        <f t="shared" si="1"/>
        <v>15067.5</v>
      </c>
      <c r="K57" s="6"/>
    </row>
    <row r="58" spans="1:11" x14ac:dyDescent="0.25">
      <c r="A58" s="3">
        <v>51</v>
      </c>
      <c r="B58" s="14" t="s">
        <v>36</v>
      </c>
      <c r="C58" s="15" t="str">
        <f>"2/2014-59"</f>
        <v>2/2014-59</v>
      </c>
      <c r="D58" s="15" t="str">
        <f t="shared" si="0"/>
        <v>ADRIATIC SERVIS</v>
      </c>
      <c r="E58" s="16">
        <v>41962</v>
      </c>
      <c r="F58" s="16">
        <v>42284</v>
      </c>
      <c r="G58" s="13">
        <v>14478.4</v>
      </c>
      <c r="H58" s="16">
        <v>42284</v>
      </c>
      <c r="I58" s="13">
        <v>11850.11</v>
      </c>
      <c r="J58" s="13">
        <f t="shared" si="1"/>
        <v>14812.637500000001</v>
      </c>
      <c r="K58" s="6"/>
    </row>
    <row r="59" spans="1:11" x14ac:dyDescent="0.25">
      <c r="A59" s="3">
        <v>52</v>
      </c>
      <c r="B59" s="14" t="s">
        <v>44</v>
      </c>
      <c r="C59" s="15" t="str">
        <f>"2/2014-83"</f>
        <v>2/2014-83</v>
      </c>
      <c r="D59" s="15" t="str">
        <f t="shared" si="0"/>
        <v>ADRIATIC SERVIS</v>
      </c>
      <c r="E59" s="16">
        <v>41968</v>
      </c>
      <c r="F59" s="16">
        <v>42339</v>
      </c>
      <c r="G59" s="13">
        <v>104094.9</v>
      </c>
      <c r="H59" s="16">
        <v>42339</v>
      </c>
      <c r="I59" s="13">
        <v>87993.26</v>
      </c>
      <c r="J59" s="13">
        <f t="shared" si="1"/>
        <v>109991.575</v>
      </c>
      <c r="K59" s="6"/>
    </row>
    <row r="60" spans="1:11" ht="24" x14ac:dyDescent="0.25">
      <c r="A60" s="3">
        <v>53</v>
      </c>
      <c r="B60" s="14" t="s">
        <v>55</v>
      </c>
      <c r="C60" s="15" t="str">
        <f>"71-55-14-2AS-2"</f>
        <v>71-55-14-2AS-2</v>
      </c>
      <c r="D60" s="15" t="str">
        <f t="shared" si="0"/>
        <v>ADRIATIC SERVIS</v>
      </c>
      <c r="E60" s="16">
        <v>41971</v>
      </c>
      <c r="F60" s="16">
        <v>42321</v>
      </c>
      <c r="G60" s="13">
        <v>6093.49</v>
      </c>
      <c r="H60" s="16">
        <v>42321</v>
      </c>
      <c r="I60" s="13">
        <v>4208.8599999999997</v>
      </c>
      <c r="J60" s="13">
        <f t="shared" si="1"/>
        <v>5261.0749999999998</v>
      </c>
      <c r="K60" s="6"/>
    </row>
    <row r="61" spans="1:11" x14ac:dyDescent="0.25">
      <c r="A61" s="3">
        <v>54</v>
      </c>
      <c r="B61" s="14" t="s">
        <v>44</v>
      </c>
      <c r="C61" s="15" t="str">
        <f>"2/2014-88"</f>
        <v>2/2014-88</v>
      </c>
      <c r="D61" s="15" t="str">
        <f t="shared" si="0"/>
        <v>ADRIATIC SERVIS</v>
      </c>
      <c r="E61" s="16">
        <v>41968</v>
      </c>
      <c r="F61" s="16">
        <v>42339</v>
      </c>
      <c r="G61" s="13">
        <v>99326.16</v>
      </c>
      <c r="H61" s="16">
        <v>42339</v>
      </c>
      <c r="I61" s="13">
        <v>90315.14</v>
      </c>
      <c r="J61" s="13">
        <f t="shared" si="1"/>
        <v>112893.925</v>
      </c>
      <c r="K61" s="6"/>
    </row>
    <row r="62" spans="1:11" x14ac:dyDescent="0.25">
      <c r="A62" s="3">
        <v>55</v>
      </c>
      <c r="B62" s="14" t="s">
        <v>25</v>
      </c>
      <c r="C62" s="15" t="str">
        <f>"2/2014-49"</f>
        <v>2/2014-49</v>
      </c>
      <c r="D62" s="15" t="str">
        <f t="shared" si="0"/>
        <v>ADRIATIC SERVIS</v>
      </c>
      <c r="E62" s="16">
        <v>41955</v>
      </c>
      <c r="F62" s="16">
        <v>42338</v>
      </c>
      <c r="G62" s="13">
        <v>23405.01</v>
      </c>
      <c r="H62" s="16">
        <v>42338</v>
      </c>
      <c r="I62" s="13">
        <v>12371.48</v>
      </c>
      <c r="J62" s="13">
        <f t="shared" si="1"/>
        <v>15464.349999999999</v>
      </c>
      <c r="K62" s="6"/>
    </row>
    <row r="63" spans="1:11" x14ac:dyDescent="0.25">
      <c r="A63" s="3">
        <v>56</v>
      </c>
      <c r="B63" s="14" t="s">
        <v>44</v>
      </c>
      <c r="C63" s="15" t="str">
        <f>"2/2014-81"</f>
        <v>2/2014-81</v>
      </c>
      <c r="D63" s="15" t="str">
        <f t="shared" si="0"/>
        <v>ADRIATIC SERVIS</v>
      </c>
      <c r="E63" s="16">
        <v>41968</v>
      </c>
      <c r="F63" s="16">
        <v>42339</v>
      </c>
      <c r="G63" s="13">
        <v>167416.31</v>
      </c>
      <c r="H63" s="16">
        <v>42339</v>
      </c>
      <c r="I63" s="13">
        <v>154313.53</v>
      </c>
      <c r="J63" s="13">
        <f t="shared" si="1"/>
        <v>192891.91250000001</v>
      </c>
      <c r="K63" s="6"/>
    </row>
    <row r="64" spans="1:11" x14ac:dyDescent="0.25">
      <c r="A64" s="3">
        <v>57</v>
      </c>
      <c r="B64" s="14" t="s">
        <v>51</v>
      </c>
      <c r="C64" s="15" t="str">
        <f>"002712/2014"</f>
        <v>002712/2014</v>
      </c>
      <c r="D64" s="15" t="str">
        <f t="shared" si="0"/>
        <v>ADRIATIC SERVIS</v>
      </c>
      <c r="E64" s="16">
        <v>41969</v>
      </c>
      <c r="F64" s="16">
        <v>42339</v>
      </c>
      <c r="G64" s="13">
        <v>2997.12</v>
      </c>
      <c r="H64" s="16">
        <v>42339</v>
      </c>
      <c r="I64" s="13">
        <v>2997.12</v>
      </c>
      <c r="J64" s="13">
        <f t="shared" si="1"/>
        <v>3746.3999999999996</v>
      </c>
      <c r="K64" s="6"/>
    </row>
    <row r="65" spans="1:11" x14ac:dyDescent="0.25">
      <c r="A65" s="3">
        <v>58</v>
      </c>
      <c r="B65" s="14" t="s">
        <v>25</v>
      </c>
      <c r="C65" s="15" t="str">
        <f>"2/2014-55"</f>
        <v>2/2014-55</v>
      </c>
      <c r="D65" s="15" t="str">
        <f t="shared" si="0"/>
        <v>ADRIATIC SERVIS</v>
      </c>
      <c r="E65" s="16">
        <v>41955</v>
      </c>
      <c r="F65" s="16">
        <v>42338</v>
      </c>
      <c r="G65" s="13">
        <v>6876.99</v>
      </c>
      <c r="H65" s="16">
        <v>42338</v>
      </c>
      <c r="I65" s="13">
        <v>6190.2</v>
      </c>
      <c r="J65" s="13">
        <f t="shared" si="1"/>
        <v>7737.75</v>
      </c>
      <c r="K65" s="6"/>
    </row>
    <row r="66" spans="1:11" x14ac:dyDescent="0.25">
      <c r="A66" s="3">
        <v>59</v>
      </c>
      <c r="B66" s="14" t="s">
        <v>36</v>
      </c>
      <c r="C66" s="15" t="str">
        <f>"2/2014-72"</f>
        <v>2/2014-72</v>
      </c>
      <c r="D66" s="15" t="str">
        <f t="shared" si="0"/>
        <v>ADRIATIC SERVIS</v>
      </c>
      <c r="E66" s="16">
        <v>41989</v>
      </c>
      <c r="F66" s="16">
        <v>42284</v>
      </c>
      <c r="G66" s="13">
        <v>3581.85</v>
      </c>
      <c r="H66" s="16">
        <v>42284</v>
      </c>
      <c r="I66" s="13">
        <v>2297.84</v>
      </c>
      <c r="J66" s="13">
        <f t="shared" si="1"/>
        <v>2872.3</v>
      </c>
      <c r="K66" s="6"/>
    </row>
    <row r="67" spans="1:11" x14ac:dyDescent="0.25">
      <c r="A67" s="3">
        <v>60</v>
      </c>
      <c r="B67" s="14" t="s">
        <v>44</v>
      </c>
      <c r="C67" s="15" t="str">
        <f>"2/2014-78"</f>
        <v>2/2014-78</v>
      </c>
      <c r="D67" s="15" t="str">
        <f t="shared" si="0"/>
        <v>ADRIATIC SERVIS</v>
      </c>
      <c r="E67" s="16">
        <v>41968</v>
      </c>
      <c r="F67" s="16">
        <v>42339</v>
      </c>
      <c r="G67" s="13">
        <v>64079.3</v>
      </c>
      <c r="H67" s="16">
        <v>42339</v>
      </c>
      <c r="I67" s="13">
        <v>58107.28</v>
      </c>
      <c r="J67" s="13">
        <f t="shared" si="1"/>
        <v>72634.100000000006</v>
      </c>
      <c r="K67" s="6"/>
    </row>
    <row r="68" spans="1:11" x14ac:dyDescent="0.25">
      <c r="A68" s="3">
        <v>61</v>
      </c>
      <c r="B68" s="14" t="s">
        <v>54</v>
      </c>
      <c r="C68" s="15" t="str">
        <f>"2/2014-38"</f>
        <v>2/2014-38</v>
      </c>
      <c r="D68" s="15" t="str">
        <f t="shared" si="0"/>
        <v>ADRIATIC SERVIS</v>
      </c>
      <c r="E68" s="16">
        <v>41957</v>
      </c>
      <c r="F68" s="16">
        <v>42339</v>
      </c>
      <c r="G68" s="13">
        <v>35658.15</v>
      </c>
      <c r="H68" s="16">
        <v>42339</v>
      </c>
      <c r="I68" s="13">
        <v>33467.65</v>
      </c>
      <c r="J68" s="13">
        <f t="shared" si="1"/>
        <v>41834.5625</v>
      </c>
      <c r="K68" s="6"/>
    </row>
    <row r="69" spans="1:11" x14ac:dyDescent="0.25">
      <c r="A69" s="3">
        <v>62</v>
      </c>
      <c r="B69" s="14" t="s">
        <v>51</v>
      </c>
      <c r="C69" s="15" t="str">
        <f>"002711/2014"</f>
        <v>002711/2014</v>
      </c>
      <c r="D69" s="15" t="str">
        <f t="shared" si="0"/>
        <v>ADRIATIC SERVIS</v>
      </c>
      <c r="E69" s="16">
        <v>41969</v>
      </c>
      <c r="F69" s="16">
        <v>42339</v>
      </c>
      <c r="G69" s="13">
        <v>1891.5</v>
      </c>
      <c r="H69" s="16">
        <v>42339</v>
      </c>
      <c r="I69" s="13">
        <v>1891.5</v>
      </c>
      <c r="J69" s="13">
        <f t="shared" si="1"/>
        <v>2364.375</v>
      </c>
      <c r="K69" s="6"/>
    </row>
    <row r="70" spans="1:11" x14ac:dyDescent="0.25">
      <c r="A70" s="3">
        <v>63</v>
      </c>
      <c r="B70" s="14" t="s">
        <v>44</v>
      </c>
      <c r="C70" s="15" t="str">
        <f>"2/2014-77"</f>
        <v>2/2014-77</v>
      </c>
      <c r="D70" s="15" t="str">
        <f t="shared" si="0"/>
        <v>ADRIATIC SERVIS</v>
      </c>
      <c r="E70" s="16">
        <v>41968</v>
      </c>
      <c r="F70" s="16">
        <v>42339</v>
      </c>
      <c r="G70" s="13">
        <v>190078.5</v>
      </c>
      <c r="H70" s="16">
        <v>42339</v>
      </c>
      <c r="I70" s="13">
        <v>168075.62</v>
      </c>
      <c r="J70" s="13">
        <f t="shared" si="1"/>
        <v>210094.52499999999</v>
      </c>
      <c r="K70" s="6"/>
    </row>
    <row r="71" spans="1:11" ht="24" x14ac:dyDescent="0.25">
      <c r="A71" s="3">
        <v>64</v>
      </c>
      <c r="B71" s="14" t="s">
        <v>61</v>
      </c>
      <c r="C71" s="15" t="str">
        <f>"2/2014-120"</f>
        <v>2/2014-120</v>
      </c>
      <c r="D71" s="15" t="str">
        <f t="shared" ref="D71:D107" si="2">CONCATENATE("ADRIATIC SERVIS")</f>
        <v>ADRIATIC SERVIS</v>
      </c>
      <c r="E71" s="16">
        <v>41960</v>
      </c>
      <c r="F71" s="16">
        <v>42284</v>
      </c>
      <c r="G71" s="13">
        <v>14327.12</v>
      </c>
      <c r="H71" s="16">
        <v>42284</v>
      </c>
      <c r="I71" s="13">
        <v>15090.56</v>
      </c>
      <c r="J71" s="13">
        <f t="shared" si="1"/>
        <v>18863.2</v>
      </c>
      <c r="K71" s="6"/>
    </row>
    <row r="72" spans="1:11" x14ac:dyDescent="0.25">
      <c r="A72" s="3">
        <v>65</v>
      </c>
      <c r="B72" s="14" t="s">
        <v>25</v>
      </c>
      <c r="C72" s="15" t="str">
        <f>"2/2014-51"</f>
        <v>2/2014-51</v>
      </c>
      <c r="D72" s="15" t="str">
        <f t="shared" si="2"/>
        <v>ADRIATIC SERVIS</v>
      </c>
      <c r="E72" s="16">
        <v>41955</v>
      </c>
      <c r="F72" s="16">
        <v>42338</v>
      </c>
      <c r="G72" s="13">
        <v>9692.1200000000008</v>
      </c>
      <c r="H72" s="16">
        <v>42338</v>
      </c>
      <c r="I72" s="13">
        <v>8135.36</v>
      </c>
      <c r="J72" s="13">
        <f t="shared" ref="J72:J107" si="3">I72*1.25</f>
        <v>10169.199999999999</v>
      </c>
      <c r="K72" s="6"/>
    </row>
    <row r="73" spans="1:11" ht="24" x14ac:dyDescent="0.25">
      <c r="A73" s="3">
        <v>66</v>
      </c>
      <c r="B73" s="14" t="s">
        <v>42</v>
      </c>
      <c r="C73" s="15" t="str">
        <f>"SNUG-202-14-0072"</f>
        <v>SNUG-202-14-0072</v>
      </c>
      <c r="D73" s="15" t="str">
        <f t="shared" si="2"/>
        <v>ADRIATIC SERVIS</v>
      </c>
      <c r="E73" s="16">
        <v>41949</v>
      </c>
      <c r="F73" s="16">
        <v>42284</v>
      </c>
      <c r="G73" s="13">
        <v>129577.04</v>
      </c>
      <c r="H73" s="16">
        <v>42284</v>
      </c>
      <c r="I73" s="13">
        <v>102849.59</v>
      </c>
      <c r="J73" s="13">
        <f t="shared" si="3"/>
        <v>128561.98749999999</v>
      </c>
      <c r="K73" s="6"/>
    </row>
    <row r="74" spans="1:11" x14ac:dyDescent="0.25">
      <c r="A74" s="3">
        <v>67</v>
      </c>
      <c r="B74" s="14" t="s">
        <v>35</v>
      </c>
      <c r="C74" s="15" t="str">
        <f>"275/2014"</f>
        <v>275/2014</v>
      </c>
      <c r="D74" s="15" t="str">
        <f t="shared" si="2"/>
        <v>ADRIATIC SERVIS</v>
      </c>
      <c r="E74" s="16">
        <v>41946</v>
      </c>
      <c r="F74" s="16">
        <v>42317</v>
      </c>
      <c r="G74" s="13">
        <v>25321.68</v>
      </c>
      <c r="H74" s="16">
        <v>42317</v>
      </c>
      <c r="I74" s="13">
        <v>22200.5</v>
      </c>
      <c r="J74" s="13">
        <f t="shared" si="3"/>
        <v>27750.625</v>
      </c>
      <c r="K74" s="6"/>
    </row>
    <row r="75" spans="1:11" ht="24" x14ac:dyDescent="0.25">
      <c r="A75" s="3">
        <v>68</v>
      </c>
      <c r="B75" s="14" t="s">
        <v>43</v>
      </c>
      <c r="C75" s="15" t="str">
        <f>"2/2014-104"</f>
        <v>2/2014-104</v>
      </c>
      <c r="D75" s="15" t="str">
        <f t="shared" si="2"/>
        <v>ADRIATIC SERVIS</v>
      </c>
      <c r="E75" s="16">
        <v>41946</v>
      </c>
      <c r="F75" s="16">
        <v>42338</v>
      </c>
      <c r="G75" s="13">
        <v>8680.5300000000007</v>
      </c>
      <c r="H75" s="16">
        <v>42338</v>
      </c>
      <c r="I75" s="13">
        <v>8679.99</v>
      </c>
      <c r="J75" s="13">
        <f t="shared" si="3"/>
        <v>10849.987499999999</v>
      </c>
      <c r="K75" s="6"/>
    </row>
    <row r="76" spans="1:11" x14ac:dyDescent="0.25">
      <c r="A76" s="3">
        <v>69</v>
      </c>
      <c r="B76" s="14" t="s">
        <v>35</v>
      </c>
      <c r="C76" s="15" t="str">
        <f>"279/2014"</f>
        <v>279/2014</v>
      </c>
      <c r="D76" s="15" t="str">
        <f t="shared" si="2"/>
        <v>ADRIATIC SERVIS</v>
      </c>
      <c r="E76" s="16">
        <v>41946</v>
      </c>
      <c r="F76" s="16">
        <v>42317</v>
      </c>
      <c r="G76" s="13">
        <v>65805.64</v>
      </c>
      <c r="H76" s="16">
        <v>42317</v>
      </c>
      <c r="I76" s="13">
        <v>63600.65</v>
      </c>
      <c r="J76" s="13">
        <f t="shared" si="3"/>
        <v>79500.8125</v>
      </c>
      <c r="K76" s="6"/>
    </row>
    <row r="77" spans="1:11" ht="24" x14ac:dyDescent="0.25">
      <c r="A77" s="3">
        <v>70</v>
      </c>
      <c r="B77" s="14" t="s">
        <v>43</v>
      </c>
      <c r="C77" s="15" t="str">
        <f>"2/2014-103"</f>
        <v>2/2014-103</v>
      </c>
      <c r="D77" s="15" t="str">
        <f t="shared" si="2"/>
        <v>ADRIATIC SERVIS</v>
      </c>
      <c r="E77" s="16">
        <v>41943</v>
      </c>
      <c r="F77" s="16">
        <v>42338</v>
      </c>
      <c r="G77" s="13">
        <v>51568.47</v>
      </c>
      <c r="H77" s="16">
        <v>42338</v>
      </c>
      <c r="I77" s="13">
        <v>51566.36</v>
      </c>
      <c r="J77" s="13">
        <f t="shared" si="3"/>
        <v>64457.95</v>
      </c>
      <c r="K77" s="6"/>
    </row>
    <row r="78" spans="1:11" x14ac:dyDescent="0.25">
      <c r="A78" s="3">
        <v>71</v>
      </c>
      <c r="B78" s="14" t="s">
        <v>35</v>
      </c>
      <c r="C78" s="15" t="str">
        <f>"280/2014"</f>
        <v>280/2014</v>
      </c>
      <c r="D78" s="15" t="str">
        <f t="shared" si="2"/>
        <v>ADRIATIC SERVIS</v>
      </c>
      <c r="E78" s="16">
        <v>41946</v>
      </c>
      <c r="F78" s="16">
        <v>42317</v>
      </c>
      <c r="G78" s="13">
        <v>20969.88</v>
      </c>
      <c r="H78" s="16">
        <v>42317</v>
      </c>
      <c r="I78" s="13">
        <v>20134.32</v>
      </c>
      <c r="J78" s="13">
        <f t="shared" si="3"/>
        <v>25167.9</v>
      </c>
      <c r="K78" s="6"/>
    </row>
    <row r="79" spans="1:11" x14ac:dyDescent="0.25">
      <c r="A79" s="3">
        <v>72</v>
      </c>
      <c r="B79" s="14" t="s">
        <v>35</v>
      </c>
      <c r="C79" s="15" t="str">
        <f>"283/2014"</f>
        <v>283/2014</v>
      </c>
      <c r="D79" s="15" t="str">
        <f t="shared" si="2"/>
        <v>ADRIATIC SERVIS</v>
      </c>
      <c r="E79" s="16">
        <v>41946</v>
      </c>
      <c r="F79" s="16">
        <v>42317</v>
      </c>
      <c r="G79" s="13">
        <v>52409.84</v>
      </c>
      <c r="H79" s="16">
        <v>42317</v>
      </c>
      <c r="I79" s="13">
        <v>49733.760000000002</v>
      </c>
      <c r="J79" s="13">
        <f t="shared" si="3"/>
        <v>62167.200000000004</v>
      </c>
      <c r="K79" s="6"/>
    </row>
    <row r="80" spans="1:11" x14ac:dyDescent="0.25">
      <c r="A80" s="3">
        <v>73</v>
      </c>
      <c r="B80" s="14" t="s">
        <v>35</v>
      </c>
      <c r="C80" s="15" t="str">
        <f>"285/2014"</f>
        <v>285/2014</v>
      </c>
      <c r="D80" s="15" t="str">
        <f t="shared" si="2"/>
        <v>ADRIATIC SERVIS</v>
      </c>
      <c r="E80" s="16">
        <v>41946</v>
      </c>
      <c r="F80" s="16">
        <v>42317</v>
      </c>
      <c r="G80" s="13">
        <v>46815.6</v>
      </c>
      <c r="H80" s="16">
        <v>42317</v>
      </c>
      <c r="I80" s="13">
        <v>36109.24</v>
      </c>
      <c r="J80" s="13">
        <f t="shared" si="3"/>
        <v>45136.549999999996</v>
      </c>
      <c r="K80" s="6"/>
    </row>
    <row r="81" spans="1:11" x14ac:dyDescent="0.25">
      <c r="A81" s="3">
        <v>74</v>
      </c>
      <c r="B81" s="14" t="s">
        <v>35</v>
      </c>
      <c r="C81" s="15" t="str">
        <f>"287/2014"</f>
        <v>287/2014</v>
      </c>
      <c r="D81" s="15" t="str">
        <f t="shared" si="2"/>
        <v>ADRIATIC SERVIS</v>
      </c>
      <c r="E81" s="16">
        <v>41946</v>
      </c>
      <c r="F81" s="16">
        <v>42317</v>
      </c>
      <c r="G81" s="13">
        <v>74744.039999999994</v>
      </c>
      <c r="H81" s="16">
        <v>42317</v>
      </c>
      <c r="I81" s="13">
        <v>69423.820000000007</v>
      </c>
      <c r="J81" s="13">
        <f t="shared" si="3"/>
        <v>86779.775000000009</v>
      </c>
      <c r="K81" s="6"/>
    </row>
    <row r="82" spans="1:11" x14ac:dyDescent="0.25">
      <c r="A82" s="3">
        <v>75</v>
      </c>
      <c r="B82" s="14" t="s">
        <v>35</v>
      </c>
      <c r="C82" s="15" t="str">
        <f>"288/2014"</f>
        <v>288/2014</v>
      </c>
      <c r="D82" s="15" t="str">
        <f t="shared" si="2"/>
        <v>ADRIATIC SERVIS</v>
      </c>
      <c r="E82" s="16">
        <v>41946</v>
      </c>
      <c r="F82" s="16">
        <v>42317</v>
      </c>
      <c r="G82" s="13">
        <v>54237.08</v>
      </c>
      <c r="H82" s="16">
        <v>42317</v>
      </c>
      <c r="I82" s="13">
        <v>55111.26</v>
      </c>
      <c r="J82" s="13">
        <f t="shared" si="3"/>
        <v>68889.074999999997</v>
      </c>
      <c r="K82" s="6"/>
    </row>
    <row r="83" spans="1:11" x14ac:dyDescent="0.25">
      <c r="A83" s="3">
        <v>76</v>
      </c>
      <c r="B83" s="14" t="s">
        <v>35</v>
      </c>
      <c r="C83" s="15" t="str">
        <f>"289/2014"</f>
        <v>289/2014</v>
      </c>
      <c r="D83" s="15" t="str">
        <f t="shared" si="2"/>
        <v>ADRIATIC SERVIS</v>
      </c>
      <c r="E83" s="16">
        <v>41946</v>
      </c>
      <c r="F83" s="16">
        <v>42317</v>
      </c>
      <c r="G83" s="13">
        <v>12429.74</v>
      </c>
      <c r="H83" s="16">
        <v>42317</v>
      </c>
      <c r="I83" s="13">
        <v>10900.4</v>
      </c>
      <c r="J83" s="13">
        <f t="shared" si="3"/>
        <v>13625.5</v>
      </c>
      <c r="K83" s="6"/>
    </row>
    <row r="84" spans="1:11" x14ac:dyDescent="0.25">
      <c r="A84" s="3">
        <v>77</v>
      </c>
      <c r="B84" s="14" t="s">
        <v>35</v>
      </c>
      <c r="C84" s="15" t="str">
        <f>"290/2014"</f>
        <v>290/2014</v>
      </c>
      <c r="D84" s="15" t="str">
        <f t="shared" si="2"/>
        <v>ADRIATIC SERVIS</v>
      </c>
      <c r="E84" s="16">
        <v>41946</v>
      </c>
      <c r="F84" s="16">
        <v>42317</v>
      </c>
      <c r="G84" s="13">
        <v>42699.839999999997</v>
      </c>
      <c r="H84" s="16">
        <v>42317</v>
      </c>
      <c r="I84" s="13">
        <v>38956.050000000003</v>
      </c>
      <c r="J84" s="13">
        <f t="shared" si="3"/>
        <v>48695.0625</v>
      </c>
      <c r="K84" s="6"/>
    </row>
    <row r="85" spans="1:11" x14ac:dyDescent="0.25">
      <c r="A85" s="3">
        <v>78</v>
      </c>
      <c r="B85" s="14" t="s">
        <v>35</v>
      </c>
      <c r="C85" s="15" t="str">
        <f>"291/2014"</f>
        <v>291/2014</v>
      </c>
      <c r="D85" s="15" t="str">
        <f t="shared" si="2"/>
        <v>ADRIATIC SERVIS</v>
      </c>
      <c r="E85" s="16">
        <v>41946</v>
      </c>
      <c r="F85" s="16">
        <v>42317</v>
      </c>
      <c r="G85" s="13">
        <v>45291.82</v>
      </c>
      <c r="H85" s="16">
        <v>42317</v>
      </c>
      <c r="I85" s="13">
        <v>38524.269999999997</v>
      </c>
      <c r="J85" s="13">
        <f t="shared" si="3"/>
        <v>48155.337499999994</v>
      </c>
      <c r="K85" s="6"/>
    </row>
    <row r="86" spans="1:11" ht="24" x14ac:dyDescent="0.25">
      <c r="A86" s="3">
        <v>79</v>
      </c>
      <c r="B86" s="14" t="s">
        <v>43</v>
      </c>
      <c r="C86" s="15" t="str">
        <f>"2/2014-105"</f>
        <v>2/2014-105</v>
      </c>
      <c r="D86" s="15" t="str">
        <f t="shared" si="2"/>
        <v>ADRIATIC SERVIS</v>
      </c>
      <c r="E86" s="16">
        <v>41915</v>
      </c>
      <c r="F86" s="16">
        <v>42338</v>
      </c>
      <c r="G86" s="13">
        <v>32285.59</v>
      </c>
      <c r="H86" s="16">
        <v>42338</v>
      </c>
      <c r="I86" s="13">
        <v>32285.01</v>
      </c>
      <c r="J86" s="13">
        <f t="shared" si="3"/>
        <v>40356.262499999997</v>
      </c>
      <c r="K86" s="6"/>
    </row>
    <row r="87" spans="1:11" x14ac:dyDescent="0.25">
      <c r="A87" s="3">
        <v>80</v>
      </c>
      <c r="B87" s="14" t="s">
        <v>35</v>
      </c>
      <c r="C87" s="15" t="str">
        <f>"292/2014"</f>
        <v>292/2014</v>
      </c>
      <c r="D87" s="15" t="str">
        <f t="shared" si="2"/>
        <v>ADRIATIC SERVIS</v>
      </c>
      <c r="E87" s="16">
        <v>41946</v>
      </c>
      <c r="F87" s="16">
        <v>42317</v>
      </c>
      <c r="G87" s="13">
        <v>30757.16</v>
      </c>
      <c r="H87" s="16">
        <v>42317</v>
      </c>
      <c r="I87" s="13">
        <v>27624.34</v>
      </c>
      <c r="J87" s="13">
        <f t="shared" si="3"/>
        <v>34530.425000000003</v>
      </c>
      <c r="K87" s="6"/>
    </row>
    <row r="88" spans="1:11" x14ac:dyDescent="0.25">
      <c r="A88" s="3">
        <v>81</v>
      </c>
      <c r="B88" s="14" t="s">
        <v>51</v>
      </c>
      <c r="C88" s="15" t="str">
        <f>"002410/2014"</f>
        <v>002410/2014</v>
      </c>
      <c r="D88" s="15" t="str">
        <f t="shared" si="2"/>
        <v>ADRIATIC SERVIS</v>
      </c>
      <c r="E88" s="16">
        <v>41949</v>
      </c>
      <c r="F88" s="16">
        <v>42318</v>
      </c>
      <c r="G88" s="13">
        <v>45066.81</v>
      </c>
      <c r="H88" s="16">
        <v>42318</v>
      </c>
      <c r="I88" s="13">
        <v>45066.81</v>
      </c>
      <c r="J88" s="13">
        <f t="shared" si="3"/>
        <v>56333.512499999997</v>
      </c>
      <c r="K88" s="6"/>
    </row>
    <row r="89" spans="1:11" x14ac:dyDescent="0.25">
      <c r="A89" s="3">
        <v>82</v>
      </c>
      <c r="B89" s="14" t="s">
        <v>51</v>
      </c>
      <c r="C89" s="15" t="str">
        <f>"002416/2014"</f>
        <v>002416/2014</v>
      </c>
      <c r="D89" s="15" t="str">
        <f t="shared" si="2"/>
        <v>ADRIATIC SERVIS</v>
      </c>
      <c r="E89" s="16">
        <v>41949</v>
      </c>
      <c r="F89" s="16">
        <v>42318</v>
      </c>
      <c r="G89" s="13">
        <v>21126.32</v>
      </c>
      <c r="H89" s="16">
        <v>42318</v>
      </c>
      <c r="I89" s="13">
        <v>21126.32</v>
      </c>
      <c r="J89" s="13">
        <f t="shared" si="3"/>
        <v>26407.9</v>
      </c>
      <c r="K89" s="6"/>
    </row>
    <row r="90" spans="1:11" x14ac:dyDescent="0.25">
      <c r="A90" s="3">
        <v>83</v>
      </c>
      <c r="B90" s="14" t="s">
        <v>51</v>
      </c>
      <c r="C90" s="15" t="str">
        <f>"002417/2014"</f>
        <v>002417/2014</v>
      </c>
      <c r="D90" s="15" t="str">
        <f t="shared" si="2"/>
        <v>ADRIATIC SERVIS</v>
      </c>
      <c r="E90" s="16">
        <v>41949</v>
      </c>
      <c r="F90" s="16">
        <v>42318</v>
      </c>
      <c r="G90" s="13">
        <v>26569.61</v>
      </c>
      <c r="H90" s="16">
        <v>42318</v>
      </c>
      <c r="I90" s="13">
        <v>26569.61</v>
      </c>
      <c r="J90" s="13">
        <f t="shared" si="3"/>
        <v>33212.012499999997</v>
      </c>
      <c r="K90" s="6"/>
    </row>
    <row r="91" spans="1:11" x14ac:dyDescent="0.25">
      <c r="A91" s="3">
        <v>84</v>
      </c>
      <c r="B91" s="14" t="s">
        <v>51</v>
      </c>
      <c r="C91" s="15" t="str">
        <f>"002411/2014"</f>
        <v>002411/2014</v>
      </c>
      <c r="D91" s="15" t="str">
        <f t="shared" si="2"/>
        <v>ADRIATIC SERVIS</v>
      </c>
      <c r="E91" s="16">
        <v>41949</v>
      </c>
      <c r="F91" s="16">
        <v>42318</v>
      </c>
      <c r="G91" s="13">
        <v>6885.01</v>
      </c>
      <c r="H91" s="16">
        <v>42318</v>
      </c>
      <c r="I91" s="13">
        <v>6885.01</v>
      </c>
      <c r="J91" s="13">
        <f t="shared" si="3"/>
        <v>8606.2625000000007</v>
      </c>
      <c r="K91" s="6"/>
    </row>
    <row r="92" spans="1:11" x14ac:dyDescent="0.25">
      <c r="A92" s="3">
        <v>85</v>
      </c>
      <c r="B92" s="14" t="s">
        <v>51</v>
      </c>
      <c r="C92" s="15" t="str">
        <f>"002408/2014"</f>
        <v>002408/2014</v>
      </c>
      <c r="D92" s="15" t="str">
        <f t="shared" si="2"/>
        <v>ADRIATIC SERVIS</v>
      </c>
      <c r="E92" s="16">
        <v>41949</v>
      </c>
      <c r="F92" s="16">
        <v>42318</v>
      </c>
      <c r="G92" s="13">
        <v>6755.99</v>
      </c>
      <c r="H92" s="16">
        <v>42318</v>
      </c>
      <c r="I92" s="13">
        <v>6755.99</v>
      </c>
      <c r="J92" s="13">
        <f t="shared" si="3"/>
        <v>8444.9874999999993</v>
      </c>
      <c r="K92" s="6"/>
    </row>
    <row r="93" spans="1:11" x14ac:dyDescent="0.25">
      <c r="A93" s="3">
        <v>86</v>
      </c>
      <c r="B93" s="14" t="s">
        <v>51</v>
      </c>
      <c r="C93" s="15" t="str">
        <f>"002412/2014"</f>
        <v>002412/2014</v>
      </c>
      <c r="D93" s="15" t="str">
        <f t="shared" si="2"/>
        <v>ADRIATIC SERVIS</v>
      </c>
      <c r="E93" s="16">
        <v>41949</v>
      </c>
      <c r="F93" s="16">
        <v>42318</v>
      </c>
      <c r="G93" s="13">
        <v>18398.560000000001</v>
      </c>
      <c r="H93" s="16">
        <v>42318</v>
      </c>
      <c r="I93" s="13">
        <v>18398.560000000001</v>
      </c>
      <c r="J93" s="13">
        <f t="shared" si="3"/>
        <v>22998.2</v>
      </c>
      <c r="K93" s="6"/>
    </row>
    <row r="94" spans="1:11" x14ac:dyDescent="0.25">
      <c r="A94" s="3">
        <v>87</v>
      </c>
      <c r="B94" s="14" t="s">
        <v>51</v>
      </c>
      <c r="C94" s="15" t="str">
        <f>"002409/2014"</f>
        <v>002409/2014</v>
      </c>
      <c r="D94" s="15" t="str">
        <f t="shared" si="2"/>
        <v>ADRIATIC SERVIS</v>
      </c>
      <c r="E94" s="16">
        <v>41949</v>
      </c>
      <c r="F94" s="16">
        <v>42318</v>
      </c>
      <c r="G94" s="13">
        <v>18422.87</v>
      </c>
      <c r="H94" s="16">
        <v>42318</v>
      </c>
      <c r="I94" s="13">
        <v>18422.87</v>
      </c>
      <c r="J94" s="13">
        <f t="shared" si="3"/>
        <v>23028.587499999998</v>
      </c>
      <c r="K94" s="6"/>
    </row>
    <row r="95" spans="1:11" x14ac:dyDescent="0.25">
      <c r="A95" s="3">
        <v>88</v>
      </c>
      <c r="B95" s="14" t="s">
        <v>51</v>
      </c>
      <c r="C95" s="15" t="str">
        <f>"002415/2014"</f>
        <v>002415/2014</v>
      </c>
      <c r="D95" s="15" t="str">
        <f t="shared" si="2"/>
        <v>ADRIATIC SERVIS</v>
      </c>
      <c r="E95" s="16">
        <v>41949</v>
      </c>
      <c r="F95" s="16">
        <v>42318</v>
      </c>
      <c r="G95" s="13">
        <v>18572.330000000002</v>
      </c>
      <c r="H95" s="16">
        <v>42318</v>
      </c>
      <c r="I95" s="13">
        <v>18572.330000000002</v>
      </c>
      <c r="J95" s="13">
        <f t="shared" si="3"/>
        <v>23215.412500000002</v>
      </c>
      <c r="K95" s="6"/>
    </row>
    <row r="96" spans="1:11" x14ac:dyDescent="0.25">
      <c r="A96" s="3">
        <v>89</v>
      </c>
      <c r="B96" s="14" t="s">
        <v>51</v>
      </c>
      <c r="C96" s="15" t="str">
        <f>"002421/2014"</f>
        <v>002421/2014</v>
      </c>
      <c r="D96" s="15" t="str">
        <f t="shared" si="2"/>
        <v>ADRIATIC SERVIS</v>
      </c>
      <c r="E96" s="16">
        <v>41949</v>
      </c>
      <c r="F96" s="16">
        <v>42318</v>
      </c>
      <c r="G96" s="13">
        <v>25715.53</v>
      </c>
      <c r="H96" s="16">
        <v>42318</v>
      </c>
      <c r="I96" s="13">
        <v>25715.53</v>
      </c>
      <c r="J96" s="13">
        <f t="shared" si="3"/>
        <v>32144.412499999999</v>
      </c>
      <c r="K96" s="6"/>
    </row>
    <row r="97" spans="1:11" x14ac:dyDescent="0.25">
      <c r="A97" s="3">
        <v>90</v>
      </c>
      <c r="B97" s="14" t="s">
        <v>51</v>
      </c>
      <c r="C97" s="15" t="str">
        <f>"002414/2014"</f>
        <v>002414/2014</v>
      </c>
      <c r="D97" s="15" t="str">
        <f t="shared" si="2"/>
        <v>ADRIATIC SERVIS</v>
      </c>
      <c r="E97" s="16">
        <v>41949</v>
      </c>
      <c r="F97" s="16">
        <v>42318</v>
      </c>
      <c r="G97" s="13">
        <v>15601.5</v>
      </c>
      <c r="H97" s="16">
        <v>42318</v>
      </c>
      <c r="I97" s="13">
        <v>15601.5</v>
      </c>
      <c r="J97" s="13">
        <f t="shared" si="3"/>
        <v>19501.875</v>
      </c>
      <c r="K97" s="6"/>
    </row>
    <row r="98" spans="1:11" ht="24" x14ac:dyDescent="0.25">
      <c r="A98" s="3">
        <v>91</v>
      </c>
      <c r="B98" s="14" t="s">
        <v>43</v>
      </c>
      <c r="C98" s="15" t="str">
        <f>"2/2014-96"</f>
        <v>2/2014-96</v>
      </c>
      <c r="D98" s="15" t="str">
        <f t="shared" si="2"/>
        <v>ADRIATIC SERVIS</v>
      </c>
      <c r="E98" s="16">
        <v>41940</v>
      </c>
      <c r="F98" s="16">
        <v>42338</v>
      </c>
      <c r="G98" s="13">
        <v>1883.7</v>
      </c>
      <c r="H98" s="16">
        <v>42338</v>
      </c>
      <c r="I98" s="13">
        <v>1883.73</v>
      </c>
      <c r="J98" s="13">
        <f t="shared" si="3"/>
        <v>2354.6624999999999</v>
      </c>
      <c r="K98" s="6"/>
    </row>
    <row r="99" spans="1:11" ht="24" x14ac:dyDescent="0.25">
      <c r="A99" s="3">
        <v>92</v>
      </c>
      <c r="B99" s="14" t="s">
        <v>43</v>
      </c>
      <c r="C99" s="15" t="str">
        <f>"2/2014-100"</f>
        <v>2/2014-100</v>
      </c>
      <c r="D99" s="15" t="str">
        <f t="shared" si="2"/>
        <v>ADRIATIC SERVIS</v>
      </c>
      <c r="E99" s="16">
        <v>41940</v>
      </c>
      <c r="F99" s="16">
        <v>42338</v>
      </c>
      <c r="G99" s="13">
        <v>4581.8500000000004</v>
      </c>
      <c r="H99" s="16">
        <v>42338</v>
      </c>
      <c r="I99" s="13">
        <v>4581.3599999999997</v>
      </c>
      <c r="J99" s="13">
        <f t="shared" si="3"/>
        <v>5726.7</v>
      </c>
      <c r="K99" s="6"/>
    </row>
    <row r="100" spans="1:11" ht="24" x14ac:dyDescent="0.25">
      <c r="A100" s="3">
        <v>93</v>
      </c>
      <c r="B100" s="14" t="s">
        <v>43</v>
      </c>
      <c r="C100" s="15" t="str">
        <f>"2/2014-99"</f>
        <v>2/2014-99</v>
      </c>
      <c r="D100" s="15" t="str">
        <f t="shared" si="2"/>
        <v>ADRIATIC SERVIS</v>
      </c>
      <c r="E100" s="16">
        <v>41940</v>
      </c>
      <c r="F100" s="16">
        <v>42338</v>
      </c>
      <c r="G100" s="13">
        <v>6061.23</v>
      </c>
      <c r="H100" s="16">
        <v>42338</v>
      </c>
      <c r="I100" s="13">
        <v>6062.07</v>
      </c>
      <c r="J100" s="13">
        <f t="shared" si="3"/>
        <v>7577.5874999999996</v>
      </c>
      <c r="K100" s="6"/>
    </row>
    <row r="101" spans="1:11" ht="24" x14ac:dyDescent="0.25">
      <c r="A101" s="3">
        <v>94</v>
      </c>
      <c r="B101" s="14" t="s">
        <v>43</v>
      </c>
      <c r="C101" s="15" t="str">
        <f>"2/2014-1"</f>
        <v>2/2014-1</v>
      </c>
      <c r="D101" s="15" t="str">
        <f t="shared" si="2"/>
        <v>ADRIATIC SERVIS</v>
      </c>
      <c r="E101" s="16">
        <v>41940</v>
      </c>
      <c r="F101" s="16">
        <v>42338</v>
      </c>
      <c r="G101" s="13">
        <v>2843.1</v>
      </c>
      <c r="H101" s="16">
        <v>42338</v>
      </c>
      <c r="I101" s="13">
        <v>2843.12</v>
      </c>
      <c r="J101" s="13">
        <f t="shared" si="3"/>
        <v>3553.8999999999996</v>
      </c>
      <c r="K101" s="6"/>
    </row>
    <row r="102" spans="1:11" ht="24" x14ac:dyDescent="0.25">
      <c r="A102" s="3">
        <v>95</v>
      </c>
      <c r="B102" s="14" t="s">
        <v>43</v>
      </c>
      <c r="C102" s="15" t="str">
        <f>"2/2014-102"</f>
        <v>2/2014-102</v>
      </c>
      <c r="D102" s="15" t="str">
        <f t="shared" si="2"/>
        <v>ADRIATIC SERVIS</v>
      </c>
      <c r="E102" s="16">
        <v>41940</v>
      </c>
      <c r="F102" s="16">
        <v>42338</v>
      </c>
      <c r="G102" s="13">
        <v>6346.76</v>
      </c>
      <c r="H102" s="16">
        <v>42338</v>
      </c>
      <c r="I102" s="13">
        <v>6347.16</v>
      </c>
      <c r="J102" s="13">
        <f t="shared" si="3"/>
        <v>7933.95</v>
      </c>
      <c r="K102" s="6"/>
    </row>
    <row r="103" spans="1:11" ht="24" x14ac:dyDescent="0.25">
      <c r="A103" s="3">
        <v>96</v>
      </c>
      <c r="B103" s="14" t="s">
        <v>43</v>
      </c>
      <c r="C103" s="15" t="str">
        <f>"2/2014-97"</f>
        <v>2/2014-97</v>
      </c>
      <c r="D103" s="15" t="str">
        <f t="shared" si="2"/>
        <v>ADRIATIC SERVIS</v>
      </c>
      <c r="E103" s="16">
        <v>41940</v>
      </c>
      <c r="F103" s="16">
        <v>42338</v>
      </c>
      <c r="G103" s="13">
        <v>15116.13</v>
      </c>
      <c r="H103" s="16">
        <v>42338</v>
      </c>
      <c r="I103" s="13">
        <v>15115.6</v>
      </c>
      <c r="J103" s="13">
        <f t="shared" si="3"/>
        <v>18894.5</v>
      </c>
      <c r="K103" s="6"/>
    </row>
    <row r="104" spans="1:11" ht="24" x14ac:dyDescent="0.25">
      <c r="A104" s="3">
        <v>97</v>
      </c>
      <c r="B104" s="14" t="s">
        <v>43</v>
      </c>
      <c r="C104" s="15" t="str">
        <f>"2/2014-98"</f>
        <v>2/2014-98</v>
      </c>
      <c r="D104" s="15" t="str">
        <f t="shared" si="2"/>
        <v>ADRIATIC SERVIS</v>
      </c>
      <c r="E104" s="16">
        <v>41940</v>
      </c>
      <c r="F104" s="16">
        <v>42338</v>
      </c>
      <c r="G104" s="13">
        <v>4877.74</v>
      </c>
      <c r="H104" s="16">
        <v>42338</v>
      </c>
      <c r="I104" s="13">
        <v>4877.84</v>
      </c>
      <c r="J104" s="13">
        <f t="shared" si="3"/>
        <v>6097.3</v>
      </c>
      <c r="K104" s="6"/>
    </row>
    <row r="105" spans="1:11" x14ac:dyDescent="0.25">
      <c r="A105" s="3">
        <v>98</v>
      </c>
      <c r="B105" s="14" t="s">
        <v>33</v>
      </c>
      <c r="C105" s="15" t="str">
        <f>"2/2014-08"</f>
        <v>2/2014-08</v>
      </c>
      <c r="D105" s="15" t="str">
        <f t="shared" si="2"/>
        <v>ADRIATIC SERVIS</v>
      </c>
      <c r="E105" s="16">
        <v>41944</v>
      </c>
      <c r="F105" s="16">
        <v>42283</v>
      </c>
      <c r="G105" s="13">
        <v>39568.46</v>
      </c>
      <c r="H105" s="16">
        <v>42283</v>
      </c>
      <c r="I105" s="13">
        <v>56219.32</v>
      </c>
      <c r="J105" s="13">
        <f t="shared" si="3"/>
        <v>70274.149999999994</v>
      </c>
      <c r="K105" s="6"/>
    </row>
    <row r="106" spans="1:11" x14ac:dyDescent="0.25">
      <c r="A106" s="3">
        <v>99</v>
      </c>
      <c r="B106" s="14" t="s">
        <v>33</v>
      </c>
      <c r="C106" s="15" t="str">
        <f>"2/2014-07"</f>
        <v>2/2014-07</v>
      </c>
      <c r="D106" s="15" t="str">
        <f t="shared" si="2"/>
        <v>ADRIATIC SERVIS</v>
      </c>
      <c r="E106" s="16">
        <v>41944</v>
      </c>
      <c r="F106" s="16">
        <v>42283</v>
      </c>
      <c r="G106" s="13">
        <v>6776.82</v>
      </c>
      <c r="H106" s="16">
        <v>42283</v>
      </c>
      <c r="I106" s="13">
        <v>16805.759999999998</v>
      </c>
      <c r="J106" s="13">
        <f t="shared" si="3"/>
        <v>21007.199999999997</v>
      </c>
      <c r="K106" s="6"/>
    </row>
    <row r="107" spans="1:11" x14ac:dyDescent="0.25">
      <c r="A107" s="3">
        <v>100</v>
      </c>
      <c r="B107" s="14" t="s">
        <v>33</v>
      </c>
      <c r="C107" s="15" t="str">
        <f>"2/2014-06"</f>
        <v>2/2014-06</v>
      </c>
      <c r="D107" s="15" t="str">
        <f t="shared" si="2"/>
        <v>ADRIATIC SERVIS</v>
      </c>
      <c r="E107" s="16">
        <v>41944</v>
      </c>
      <c r="F107" s="16">
        <v>42283</v>
      </c>
      <c r="G107" s="13">
        <v>97907.839999999997</v>
      </c>
      <c r="H107" s="16">
        <v>42283</v>
      </c>
      <c r="I107" s="13">
        <v>121265.77</v>
      </c>
      <c r="J107" s="13">
        <f t="shared" si="3"/>
        <v>151582.21249999999</v>
      </c>
      <c r="K107" s="6"/>
    </row>
    <row r="108" spans="1:11" ht="7.5" customHeight="1" x14ac:dyDescent="0.25"/>
    <row r="109" spans="1:11" ht="42" customHeight="1" x14ac:dyDescent="0.25">
      <c r="A109" s="1" t="s">
        <v>0</v>
      </c>
      <c r="B109" s="2" t="s">
        <v>1</v>
      </c>
      <c r="C109" s="2" t="s">
        <v>6</v>
      </c>
      <c r="D109" s="2" t="s">
        <v>2</v>
      </c>
      <c r="E109" s="2" t="s">
        <v>3</v>
      </c>
      <c r="F109" s="2" t="s">
        <v>7</v>
      </c>
      <c r="G109" s="2" t="s">
        <v>8</v>
      </c>
      <c r="H109" s="2" t="s">
        <v>4</v>
      </c>
      <c r="I109" s="2" t="s">
        <v>5</v>
      </c>
    </row>
    <row r="110" spans="1:11" x14ac:dyDescent="0.25">
      <c r="A110" s="3">
        <v>1</v>
      </c>
      <c r="B110" s="6" t="s">
        <v>76</v>
      </c>
      <c r="C110" s="3" t="s">
        <v>78</v>
      </c>
      <c r="D110" s="3" t="s">
        <v>699</v>
      </c>
      <c r="E110" s="3" t="s">
        <v>24</v>
      </c>
      <c r="F110" s="21">
        <v>41919</v>
      </c>
      <c r="G110" s="3" t="s">
        <v>668</v>
      </c>
      <c r="H110" s="13">
        <v>1165000</v>
      </c>
      <c r="I110" s="13">
        <v>795881.58</v>
      </c>
    </row>
    <row r="111" spans="1:11" x14ac:dyDescent="0.25">
      <c r="A111" s="42" t="s">
        <v>706</v>
      </c>
      <c r="B111" s="43"/>
      <c r="C111" s="43"/>
      <c r="D111" s="43"/>
      <c r="E111" s="43"/>
      <c r="F111" s="43"/>
      <c r="G111" s="43"/>
      <c r="H111" s="44"/>
      <c r="I111" s="13">
        <v>627866.06999999995</v>
      </c>
    </row>
    <row r="112" spans="1:11" ht="7.5" customHeight="1" x14ac:dyDescent="0.25"/>
    <row r="113" spans="1:11" x14ac:dyDescent="0.25">
      <c r="A113" s="46" t="s">
        <v>20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1:11" ht="63.75" customHeight="1" x14ac:dyDescent="0.25">
      <c r="A114" s="4" t="s">
        <v>0</v>
      </c>
      <c r="B114" s="5" t="s">
        <v>10</v>
      </c>
      <c r="C114" s="5" t="s">
        <v>9</v>
      </c>
      <c r="D114" s="5" t="s">
        <v>13</v>
      </c>
      <c r="E114" s="5" t="s">
        <v>12</v>
      </c>
      <c r="F114" s="5" t="s">
        <v>11</v>
      </c>
      <c r="G114" s="5" t="s">
        <v>18</v>
      </c>
      <c r="H114" s="5" t="s">
        <v>14</v>
      </c>
      <c r="I114" s="5" t="s">
        <v>15</v>
      </c>
      <c r="J114" s="5" t="s">
        <v>16</v>
      </c>
      <c r="K114" s="5" t="s">
        <v>17</v>
      </c>
    </row>
    <row r="115" spans="1:11" ht="24" x14ac:dyDescent="0.25">
      <c r="A115" s="3">
        <v>1</v>
      </c>
      <c r="B115" s="14" t="s">
        <v>28</v>
      </c>
      <c r="C115" s="15" t="str">
        <f>"MGPU 2/2014-EF"</f>
        <v>MGPU 2/2014-EF</v>
      </c>
      <c r="D115" s="15" t="str">
        <f t="shared" ref="D115:D147" si="4">CONCATENATE("EKO FOKUS D.O.O.")</f>
        <v>EKO FOKUS D.O.O.</v>
      </c>
      <c r="E115" s="16">
        <v>42037</v>
      </c>
      <c r="F115" s="16">
        <v>42284</v>
      </c>
      <c r="G115" s="13">
        <v>20387.32</v>
      </c>
      <c r="H115" s="16">
        <v>42284</v>
      </c>
      <c r="I115" s="13">
        <v>11229.22</v>
      </c>
      <c r="J115" s="13">
        <f>I115*1.25</f>
        <v>14036.525</v>
      </c>
      <c r="K115" s="6"/>
    </row>
    <row r="116" spans="1:11" x14ac:dyDescent="0.25">
      <c r="A116" s="3">
        <v>2</v>
      </c>
      <c r="B116" s="14" t="s">
        <v>49</v>
      </c>
      <c r="C116" s="15" t="str">
        <f>"647/2015"</f>
        <v>647/2015</v>
      </c>
      <c r="D116" s="15" t="str">
        <f t="shared" si="4"/>
        <v>EKO FOKUS D.O.O.</v>
      </c>
      <c r="E116" s="16">
        <v>42173</v>
      </c>
      <c r="F116" s="16"/>
      <c r="G116" s="13">
        <v>239.85</v>
      </c>
      <c r="H116" s="16"/>
      <c r="I116" s="13">
        <v>239.85</v>
      </c>
      <c r="J116" s="13">
        <f t="shared" ref="J116:J147" si="5">I116*1.25</f>
        <v>299.8125</v>
      </c>
      <c r="K116" s="6"/>
    </row>
    <row r="117" spans="1:11" ht="24" x14ac:dyDescent="0.25">
      <c r="A117" s="3">
        <v>3</v>
      </c>
      <c r="B117" s="14" t="s">
        <v>45</v>
      </c>
      <c r="C117" s="15" t="str">
        <f>"2/2014-EF-5-U1"</f>
        <v>2/2014-EF-5-U1</v>
      </c>
      <c r="D117" s="15" t="str">
        <f t="shared" si="4"/>
        <v>EKO FOKUS D.O.O.</v>
      </c>
      <c r="E117" s="16">
        <v>42006</v>
      </c>
      <c r="F117" s="16"/>
      <c r="G117" s="13">
        <v>4675.88</v>
      </c>
      <c r="H117" s="16"/>
      <c r="I117" s="13">
        <v>3904.3</v>
      </c>
      <c r="J117" s="13">
        <f t="shared" si="5"/>
        <v>4880.375</v>
      </c>
      <c r="K117" s="6"/>
    </row>
    <row r="118" spans="1:11" x14ac:dyDescent="0.25">
      <c r="A118" s="3">
        <v>4</v>
      </c>
      <c r="B118" s="14" t="s">
        <v>49</v>
      </c>
      <c r="C118" s="15" t="str">
        <f>"649/2015"</f>
        <v>649/2015</v>
      </c>
      <c r="D118" s="15" t="str">
        <f t="shared" si="4"/>
        <v>EKO FOKUS D.O.O.</v>
      </c>
      <c r="E118" s="16">
        <v>42173</v>
      </c>
      <c r="F118" s="16"/>
      <c r="G118" s="13">
        <v>173.25</v>
      </c>
      <c r="H118" s="16"/>
      <c r="I118" s="13">
        <v>173.25</v>
      </c>
      <c r="J118" s="13">
        <f t="shared" si="5"/>
        <v>216.5625</v>
      </c>
      <c r="K118" s="6"/>
    </row>
    <row r="119" spans="1:11" x14ac:dyDescent="0.25">
      <c r="A119" s="3">
        <v>5</v>
      </c>
      <c r="B119" s="14" t="s">
        <v>49</v>
      </c>
      <c r="C119" s="15" t="str">
        <f>"1093/2015"</f>
        <v>1093/2015</v>
      </c>
      <c r="D119" s="15" t="str">
        <f t="shared" si="4"/>
        <v>EKO FOKUS D.O.O.</v>
      </c>
      <c r="E119" s="16">
        <v>42305</v>
      </c>
      <c r="F119" s="16"/>
      <c r="G119" s="13">
        <v>278.3</v>
      </c>
      <c r="H119" s="16"/>
      <c r="I119" s="13">
        <v>278.3</v>
      </c>
      <c r="J119" s="13">
        <f t="shared" si="5"/>
        <v>347.875</v>
      </c>
      <c r="K119" s="6"/>
    </row>
    <row r="120" spans="1:11" ht="24" x14ac:dyDescent="0.25">
      <c r="A120" s="3">
        <v>6</v>
      </c>
      <c r="B120" s="14" t="s">
        <v>54</v>
      </c>
      <c r="C120" s="15" t="str">
        <f>"2/2014-EF-15/31-1"</f>
        <v>2/2014-EF-15/31-1</v>
      </c>
      <c r="D120" s="15" t="str">
        <f t="shared" si="4"/>
        <v>EKO FOKUS D.O.O.</v>
      </c>
      <c r="E120" s="16">
        <v>42087</v>
      </c>
      <c r="F120" s="16">
        <v>42461</v>
      </c>
      <c r="G120" s="13">
        <v>2235.6</v>
      </c>
      <c r="H120" s="16">
        <v>42461</v>
      </c>
      <c r="I120" s="13">
        <v>189.03</v>
      </c>
      <c r="J120" s="13">
        <f t="shared" si="5"/>
        <v>236.28749999999999</v>
      </c>
      <c r="K120" s="6"/>
    </row>
    <row r="121" spans="1:11" x14ac:dyDescent="0.25">
      <c r="A121" s="3">
        <v>7</v>
      </c>
      <c r="B121" s="14" t="s">
        <v>49</v>
      </c>
      <c r="C121" s="15" t="str">
        <f>"000263/2015"</f>
        <v>000263/2015</v>
      </c>
      <c r="D121" s="15" t="str">
        <f t="shared" si="4"/>
        <v>EKO FOKUS D.O.O.</v>
      </c>
      <c r="E121" s="16">
        <v>42079</v>
      </c>
      <c r="F121" s="16">
        <v>42185</v>
      </c>
      <c r="G121" s="13">
        <v>150.15</v>
      </c>
      <c r="H121" s="16">
        <v>42185</v>
      </c>
      <c r="I121" s="13">
        <v>150.15</v>
      </c>
      <c r="J121" s="13">
        <f t="shared" si="5"/>
        <v>187.6875</v>
      </c>
      <c r="K121" s="6"/>
    </row>
    <row r="122" spans="1:11" x14ac:dyDescent="0.25">
      <c r="A122" s="3">
        <v>8</v>
      </c>
      <c r="B122" s="14" t="s">
        <v>49</v>
      </c>
      <c r="C122" s="15" t="str">
        <f>"000256/2015"</f>
        <v>000256/2015</v>
      </c>
      <c r="D122" s="15" t="str">
        <f t="shared" si="4"/>
        <v>EKO FOKUS D.O.O.</v>
      </c>
      <c r="E122" s="16">
        <v>42076</v>
      </c>
      <c r="F122" s="16">
        <v>42185</v>
      </c>
      <c r="G122" s="13">
        <v>207.89</v>
      </c>
      <c r="H122" s="16">
        <v>42185</v>
      </c>
      <c r="I122" s="13">
        <v>207.89</v>
      </c>
      <c r="J122" s="13">
        <f t="shared" si="5"/>
        <v>259.86249999999995</v>
      </c>
      <c r="K122" s="6"/>
    </row>
    <row r="123" spans="1:11" x14ac:dyDescent="0.25">
      <c r="A123" s="3">
        <v>9</v>
      </c>
      <c r="B123" s="14" t="s">
        <v>25</v>
      </c>
      <c r="C123" s="15" t="str">
        <f>"2/2014-155"</f>
        <v>2/2014-155</v>
      </c>
      <c r="D123" s="15" t="str">
        <f t="shared" si="4"/>
        <v>EKO FOKUS D.O.O.</v>
      </c>
      <c r="E123" s="16">
        <v>42076</v>
      </c>
      <c r="F123" s="16">
        <v>42338</v>
      </c>
      <c r="G123" s="13">
        <v>982.18</v>
      </c>
      <c r="H123" s="16">
        <v>42338</v>
      </c>
      <c r="I123" s="13">
        <v>911.01</v>
      </c>
      <c r="J123" s="13">
        <f t="shared" si="5"/>
        <v>1138.7625</v>
      </c>
      <c r="K123" s="6"/>
    </row>
    <row r="124" spans="1:11" x14ac:dyDescent="0.25">
      <c r="A124" s="3">
        <v>10</v>
      </c>
      <c r="B124" s="14" t="s">
        <v>49</v>
      </c>
      <c r="C124" s="15" t="str">
        <f>"000189/2015"</f>
        <v>000189/2015</v>
      </c>
      <c r="D124" s="15" t="str">
        <f t="shared" si="4"/>
        <v>EKO FOKUS D.O.O.</v>
      </c>
      <c r="E124" s="16">
        <v>42061</v>
      </c>
      <c r="F124" s="16">
        <v>42094</v>
      </c>
      <c r="G124" s="13">
        <v>79.94</v>
      </c>
      <c r="H124" s="16">
        <v>42094</v>
      </c>
      <c r="I124" s="13">
        <v>79.94</v>
      </c>
      <c r="J124" s="13">
        <f t="shared" si="5"/>
        <v>99.924999999999997</v>
      </c>
      <c r="K124" s="6"/>
    </row>
    <row r="125" spans="1:11" x14ac:dyDescent="0.25">
      <c r="A125" s="3">
        <v>11</v>
      </c>
      <c r="B125" s="14" t="s">
        <v>49</v>
      </c>
      <c r="C125" s="15" t="str">
        <f>"001098/2014"</f>
        <v>001098/2014</v>
      </c>
      <c r="D125" s="15" t="str">
        <f t="shared" si="4"/>
        <v>EKO FOKUS D.O.O.</v>
      </c>
      <c r="E125" s="16">
        <v>41990</v>
      </c>
      <c r="F125" s="16">
        <v>42094</v>
      </c>
      <c r="G125" s="13">
        <v>642.04</v>
      </c>
      <c r="H125" s="16">
        <v>42094</v>
      </c>
      <c r="I125" s="13">
        <v>642.1</v>
      </c>
      <c r="J125" s="13">
        <f t="shared" si="5"/>
        <v>802.625</v>
      </c>
      <c r="K125" s="6"/>
    </row>
    <row r="126" spans="1:11" ht="24" x14ac:dyDescent="0.25">
      <c r="A126" s="3">
        <v>12</v>
      </c>
      <c r="B126" s="14" t="s">
        <v>31</v>
      </c>
      <c r="C126" s="15" t="str">
        <f>"125/14"</f>
        <v>125/14</v>
      </c>
      <c r="D126" s="15" t="str">
        <f t="shared" si="4"/>
        <v>EKO FOKUS D.O.O.</v>
      </c>
      <c r="E126" s="16">
        <v>41997</v>
      </c>
      <c r="F126" s="16">
        <v>42370</v>
      </c>
      <c r="G126" s="13">
        <v>15836.6</v>
      </c>
      <c r="H126" s="16">
        <v>42370</v>
      </c>
      <c r="I126" s="13">
        <v>11022.52</v>
      </c>
      <c r="J126" s="13">
        <f t="shared" si="5"/>
        <v>13778.150000000001</v>
      </c>
      <c r="K126" s="6"/>
    </row>
    <row r="127" spans="1:11" ht="24" x14ac:dyDescent="0.25">
      <c r="A127" s="3">
        <v>13</v>
      </c>
      <c r="B127" s="14" t="s">
        <v>31</v>
      </c>
      <c r="C127" s="15" t="str">
        <f>"127/14"</f>
        <v>127/14</v>
      </c>
      <c r="D127" s="15" t="str">
        <f t="shared" si="4"/>
        <v>EKO FOKUS D.O.O.</v>
      </c>
      <c r="E127" s="16">
        <v>41997</v>
      </c>
      <c r="F127" s="16">
        <v>42284</v>
      </c>
      <c r="G127" s="13">
        <v>17502.13</v>
      </c>
      <c r="H127" s="16">
        <v>42284</v>
      </c>
      <c r="I127" s="13">
        <v>8980.4599999999991</v>
      </c>
      <c r="J127" s="13">
        <f t="shared" si="5"/>
        <v>11225.574999999999</v>
      </c>
      <c r="K127" s="6"/>
    </row>
    <row r="128" spans="1:11" ht="24" x14ac:dyDescent="0.25">
      <c r="A128" s="3">
        <v>14</v>
      </c>
      <c r="B128" s="14" t="s">
        <v>31</v>
      </c>
      <c r="C128" s="15" t="str">
        <f>"126/14"</f>
        <v>126/14</v>
      </c>
      <c r="D128" s="15" t="str">
        <f t="shared" si="4"/>
        <v>EKO FOKUS D.O.O.</v>
      </c>
      <c r="E128" s="16">
        <v>41997</v>
      </c>
      <c r="F128" s="16">
        <v>42005</v>
      </c>
      <c r="G128" s="13">
        <v>9314.2199999999993</v>
      </c>
      <c r="H128" s="16">
        <v>42005</v>
      </c>
      <c r="I128" s="13">
        <v>8184.24</v>
      </c>
      <c r="J128" s="13">
        <f t="shared" si="5"/>
        <v>10230.299999999999</v>
      </c>
      <c r="K128" s="6"/>
    </row>
    <row r="129" spans="1:11" ht="24" x14ac:dyDescent="0.25">
      <c r="A129" s="3">
        <v>15</v>
      </c>
      <c r="B129" s="14" t="s">
        <v>61</v>
      </c>
      <c r="C129" s="15" t="str">
        <f>"2/2014-122"</f>
        <v>2/2014-122</v>
      </c>
      <c r="D129" s="15" t="str">
        <f t="shared" si="4"/>
        <v>EKO FOKUS D.O.O.</v>
      </c>
      <c r="E129" s="16">
        <v>41970</v>
      </c>
      <c r="F129" s="16">
        <v>42308</v>
      </c>
      <c r="G129" s="13">
        <v>14857.8</v>
      </c>
      <c r="H129" s="16">
        <v>42308</v>
      </c>
      <c r="I129" s="13">
        <v>14465.8</v>
      </c>
      <c r="J129" s="13">
        <f t="shared" si="5"/>
        <v>18082.25</v>
      </c>
      <c r="K129" s="6"/>
    </row>
    <row r="130" spans="1:11" x14ac:dyDescent="0.25">
      <c r="A130" s="3">
        <v>16</v>
      </c>
      <c r="B130" s="14" t="s">
        <v>25</v>
      </c>
      <c r="C130" s="15" t="str">
        <f>"2/2014-46"</f>
        <v>2/2014-46</v>
      </c>
      <c r="D130" s="15" t="str">
        <f t="shared" si="4"/>
        <v>EKO FOKUS D.O.O.</v>
      </c>
      <c r="E130" s="16">
        <v>41955</v>
      </c>
      <c r="F130" s="16">
        <v>42338</v>
      </c>
      <c r="G130" s="13">
        <v>24795.16</v>
      </c>
      <c r="H130" s="16">
        <v>42338</v>
      </c>
      <c r="I130" s="13">
        <v>21464.880000000001</v>
      </c>
      <c r="J130" s="13">
        <f t="shared" si="5"/>
        <v>26831.100000000002</v>
      </c>
      <c r="K130" s="6"/>
    </row>
    <row r="131" spans="1:11" x14ac:dyDescent="0.25">
      <c r="A131" s="3">
        <v>17</v>
      </c>
      <c r="B131" s="14" t="s">
        <v>54</v>
      </c>
      <c r="C131" s="15" t="str">
        <f>"2/2014-35"</f>
        <v>2/2014-35</v>
      </c>
      <c r="D131" s="15" t="str">
        <f t="shared" si="4"/>
        <v>EKO FOKUS D.O.O.</v>
      </c>
      <c r="E131" s="16">
        <v>41957</v>
      </c>
      <c r="F131" s="16">
        <v>42339</v>
      </c>
      <c r="G131" s="13">
        <v>10903.29</v>
      </c>
      <c r="H131" s="16">
        <v>42339</v>
      </c>
      <c r="I131" s="13">
        <v>10086.92</v>
      </c>
      <c r="J131" s="13">
        <f t="shared" si="5"/>
        <v>12608.65</v>
      </c>
      <c r="K131" s="6"/>
    </row>
    <row r="132" spans="1:11" ht="24" x14ac:dyDescent="0.25">
      <c r="A132" s="3">
        <v>18</v>
      </c>
      <c r="B132" s="14" t="s">
        <v>30</v>
      </c>
      <c r="C132" s="15" t="str">
        <f>"510-C-U-0033/14-90"</f>
        <v>510-C-U-0033/14-90</v>
      </c>
      <c r="D132" s="15" t="str">
        <f t="shared" si="4"/>
        <v>EKO FOKUS D.O.O.</v>
      </c>
      <c r="E132" s="16">
        <v>41970</v>
      </c>
      <c r="F132" s="16">
        <v>42284</v>
      </c>
      <c r="G132" s="13">
        <v>9268.2999999999993</v>
      </c>
      <c r="H132" s="16">
        <v>42284</v>
      </c>
      <c r="I132" s="13">
        <v>9268</v>
      </c>
      <c r="J132" s="13">
        <f t="shared" si="5"/>
        <v>11585</v>
      </c>
      <c r="K132" s="6"/>
    </row>
    <row r="133" spans="1:11" x14ac:dyDescent="0.25">
      <c r="A133" s="3">
        <v>19</v>
      </c>
      <c r="B133" s="14" t="s">
        <v>25</v>
      </c>
      <c r="C133" s="15" t="str">
        <f>"2/2014-45"</f>
        <v>2/2014-45</v>
      </c>
      <c r="D133" s="15" t="str">
        <f t="shared" si="4"/>
        <v>EKO FOKUS D.O.O.</v>
      </c>
      <c r="E133" s="16">
        <v>41955</v>
      </c>
      <c r="F133" s="16">
        <v>42338</v>
      </c>
      <c r="G133" s="13">
        <v>16349.24</v>
      </c>
      <c r="H133" s="16">
        <v>42338</v>
      </c>
      <c r="I133" s="13">
        <v>12970.12</v>
      </c>
      <c r="J133" s="13">
        <f t="shared" si="5"/>
        <v>16212.650000000001</v>
      </c>
      <c r="K133" s="6"/>
    </row>
    <row r="134" spans="1:11" x14ac:dyDescent="0.25">
      <c r="A134" s="3">
        <v>20</v>
      </c>
      <c r="B134" s="14" t="s">
        <v>36</v>
      </c>
      <c r="C134" s="15" t="str">
        <f>"2/2014-58"</f>
        <v>2/2014-58</v>
      </c>
      <c r="D134" s="15" t="str">
        <f t="shared" si="4"/>
        <v>EKO FOKUS D.O.O.</v>
      </c>
      <c r="E134" s="16">
        <v>41962</v>
      </c>
      <c r="F134" s="16">
        <v>42284</v>
      </c>
      <c r="G134" s="13">
        <v>4918.1499999999996</v>
      </c>
      <c r="H134" s="16">
        <v>42284</v>
      </c>
      <c r="I134" s="13">
        <v>3674.55</v>
      </c>
      <c r="J134" s="13">
        <f t="shared" si="5"/>
        <v>4593.1875</v>
      </c>
      <c r="K134" s="6"/>
    </row>
    <row r="135" spans="1:11" x14ac:dyDescent="0.25">
      <c r="A135" s="3">
        <v>21</v>
      </c>
      <c r="B135" s="14" t="s">
        <v>44</v>
      </c>
      <c r="C135" s="15" t="str">
        <f>"2/2014-79"</f>
        <v>2/2014-79</v>
      </c>
      <c r="D135" s="15" t="str">
        <f t="shared" si="4"/>
        <v>EKO FOKUS D.O.O.</v>
      </c>
      <c r="E135" s="16">
        <v>41968</v>
      </c>
      <c r="F135" s="16">
        <v>42339</v>
      </c>
      <c r="G135" s="13">
        <v>123810.04</v>
      </c>
      <c r="H135" s="16">
        <v>42339</v>
      </c>
      <c r="I135" s="13">
        <v>99802.93</v>
      </c>
      <c r="J135" s="13">
        <f t="shared" si="5"/>
        <v>124753.66249999999</v>
      </c>
      <c r="K135" s="6"/>
    </row>
    <row r="136" spans="1:11" ht="24" x14ac:dyDescent="0.25">
      <c r="A136" s="3">
        <v>22</v>
      </c>
      <c r="B136" s="14" t="s">
        <v>55</v>
      </c>
      <c r="C136" s="15" t="str">
        <f>"71-55-14-3EF-1"</f>
        <v>71-55-14-3EF-1</v>
      </c>
      <c r="D136" s="15" t="str">
        <f t="shared" si="4"/>
        <v>EKO FOKUS D.O.O.</v>
      </c>
      <c r="E136" s="16">
        <v>41967</v>
      </c>
      <c r="F136" s="16">
        <v>42321</v>
      </c>
      <c r="G136" s="13">
        <v>55708.37</v>
      </c>
      <c r="H136" s="16">
        <v>42321</v>
      </c>
      <c r="I136" s="13">
        <v>27689.97</v>
      </c>
      <c r="J136" s="13">
        <f t="shared" si="5"/>
        <v>34612.462500000001</v>
      </c>
      <c r="K136" s="6"/>
    </row>
    <row r="137" spans="1:11" x14ac:dyDescent="0.25">
      <c r="A137" s="3">
        <v>23</v>
      </c>
      <c r="B137" s="14" t="s">
        <v>44</v>
      </c>
      <c r="C137" s="15" t="str">
        <f>"2/2014-80"</f>
        <v>2/2014-80</v>
      </c>
      <c r="D137" s="15" t="str">
        <f t="shared" si="4"/>
        <v>EKO FOKUS D.O.O.</v>
      </c>
      <c r="E137" s="16">
        <v>41968</v>
      </c>
      <c r="F137" s="16">
        <v>42339</v>
      </c>
      <c r="G137" s="13">
        <v>132222.17000000001</v>
      </c>
      <c r="H137" s="16">
        <v>42339</v>
      </c>
      <c r="I137" s="13">
        <v>117622.62</v>
      </c>
      <c r="J137" s="13">
        <f t="shared" si="5"/>
        <v>147028.27499999999</v>
      </c>
      <c r="K137" s="6"/>
    </row>
    <row r="138" spans="1:11" ht="24" x14ac:dyDescent="0.25">
      <c r="A138" s="3">
        <v>24</v>
      </c>
      <c r="B138" s="14" t="s">
        <v>42</v>
      </c>
      <c r="C138" s="15" t="str">
        <f>"SNUG-202-14-0073"</f>
        <v>SNUG-202-14-0073</v>
      </c>
      <c r="D138" s="15" t="str">
        <f t="shared" si="4"/>
        <v>EKO FOKUS D.O.O.</v>
      </c>
      <c r="E138" s="16">
        <v>41949</v>
      </c>
      <c r="F138" s="16">
        <v>42284</v>
      </c>
      <c r="G138" s="13">
        <v>32616.09</v>
      </c>
      <c r="H138" s="16">
        <v>42284</v>
      </c>
      <c r="I138" s="13">
        <v>23735.919999999998</v>
      </c>
      <c r="J138" s="13">
        <f t="shared" si="5"/>
        <v>29669.899999999998</v>
      </c>
      <c r="K138" s="6"/>
    </row>
    <row r="139" spans="1:11" x14ac:dyDescent="0.25">
      <c r="A139" s="3">
        <v>25</v>
      </c>
      <c r="B139" s="14" t="s">
        <v>35</v>
      </c>
      <c r="C139" s="15" t="str">
        <f>"281/2014"</f>
        <v>281/2014</v>
      </c>
      <c r="D139" s="15" t="str">
        <f t="shared" si="4"/>
        <v>EKO FOKUS D.O.O.</v>
      </c>
      <c r="E139" s="16">
        <v>41946</v>
      </c>
      <c r="F139" s="16">
        <v>42317</v>
      </c>
      <c r="G139" s="13">
        <v>52520.94</v>
      </c>
      <c r="H139" s="16">
        <v>42317</v>
      </c>
      <c r="I139" s="13">
        <v>46163.57</v>
      </c>
      <c r="J139" s="13">
        <f t="shared" si="5"/>
        <v>57704.462500000001</v>
      </c>
      <c r="K139" s="6"/>
    </row>
    <row r="140" spans="1:11" x14ac:dyDescent="0.25">
      <c r="A140" s="3">
        <v>26</v>
      </c>
      <c r="B140" s="14" t="s">
        <v>35</v>
      </c>
      <c r="C140" s="15" t="str">
        <f>"282/2014"</f>
        <v>282/2014</v>
      </c>
      <c r="D140" s="15" t="str">
        <f t="shared" si="4"/>
        <v>EKO FOKUS D.O.O.</v>
      </c>
      <c r="E140" s="16">
        <v>41946</v>
      </c>
      <c r="F140" s="16">
        <v>42317</v>
      </c>
      <c r="G140" s="13">
        <v>29876.04</v>
      </c>
      <c r="H140" s="16">
        <v>42317</v>
      </c>
      <c r="I140" s="13">
        <v>28352.26</v>
      </c>
      <c r="J140" s="13">
        <f t="shared" si="5"/>
        <v>35440.324999999997</v>
      </c>
      <c r="K140" s="6"/>
    </row>
    <row r="141" spans="1:11" x14ac:dyDescent="0.25">
      <c r="A141" s="3">
        <v>27</v>
      </c>
      <c r="B141" s="14" t="s">
        <v>51</v>
      </c>
      <c r="C141" s="15" t="str">
        <f>"002333/2014"</f>
        <v>002333/2014</v>
      </c>
      <c r="D141" s="15" t="str">
        <f t="shared" si="4"/>
        <v>EKO FOKUS D.O.O.</v>
      </c>
      <c r="E141" s="16">
        <v>41943</v>
      </c>
      <c r="F141" s="16">
        <v>42309</v>
      </c>
      <c r="G141" s="13">
        <v>17465.16</v>
      </c>
      <c r="H141" s="16">
        <v>42309</v>
      </c>
      <c r="I141" s="13">
        <v>17465.16</v>
      </c>
      <c r="J141" s="13">
        <f t="shared" si="5"/>
        <v>21831.45</v>
      </c>
      <c r="K141" s="6"/>
    </row>
    <row r="142" spans="1:11" ht="24" x14ac:dyDescent="0.25">
      <c r="A142" s="3">
        <v>28</v>
      </c>
      <c r="B142" s="14" t="s">
        <v>43</v>
      </c>
      <c r="C142" s="15" t="str">
        <f>"2/2014-95"</f>
        <v>2/2014-95</v>
      </c>
      <c r="D142" s="15" t="str">
        <f t="shared" si="4"/>
        <v>EKO FOKUS D.O.O.</v>
      </c>
      <c r="E142" s="16">
        <v>41940</v>
      </c>
      <c r="F142" s="16">
        <v>42338</v>
      </c>
      <c r="G142" s="13">
        <v>9103.4699999999993</v>
      </c>
      <c r="H142" s="16">
        <v>42338</v>
      </c>
      <c r="I142" s="13">
        <v>9103.4599999999991</v>
      </c>
      <c r="J142" s="13">
        <f t="shared" si="5"/>
        <v>11379.324999999999</v>
      </c>
      <c r="K142" s="6"/>
    </row>
    <row r="143" spans="1:11" ht="24" x14ac:dyDescent="0.25">
      <c r="A143" s="3">
        <v>29</v>
      </c>
      <c r="B143" s="14" t="s">
        <v>43</v>
      </c>
      <c r="C143" s="15" t="str">
        <f>"2/2014-93"</f>
        <v>2/2014-93</v>
      </c>
      <c r="D143" s="15" t="str">
        <f t="shared" si="4"/>
        <v>EKO FOKUS D.O.O.</v>
      </c>
      <c r="E143" s="16">
        <v>41940</v>
      </c>
      <c r="F143" s="16">
        <v>42338</v>
      </c>
      <c r="G143" s="13">
        <v>28043.08</v>
      </c>
      <c r="H143" s="16">
        <v>42338</v>
      </c>
      <c r="I143" s="13">
        <v>28043.08</v>
      </c>
      <c r="J143" s="13">
        <f t="shared" si="5"/>
        <v>35053.850000000006</v>
      </c>
      <c r="K143" s="6"/>
    </row>
    <row r="144" spans="1:11" x14ac:dyDescent="0.25">
      <c r="A144" s="3">
        <v>30</v>
      </c>
      <c r="B144" s="14" t="s">
        <v>51</v>
      </c>
      <c r="C144" s="15" t="str">
        <f>"002332/2014"</f>
        <v>002332/2014</v>
      </c>
      <c r="D144" s="15" t="str">
        <f t="shared" si="4"/>
        <v>EKO FOKUS D.O.O.</v>
      </c>
      <c r="E144" s="16">
        <v>41943</v>
      </c>
      <c r="F144" s="16">
        <v>42309</v>
      </c>
      <c r="G144" s="13">
        <v>14732.64</v>
      </c>
      <c r="H144" s="16">
        <v>42309</v>
      </c>
      <c r="I144" s="13">
        <v>14732.64</v>
      </c>
      <c r="J144" s="13">
        <f t="shared" si="5"/>
        <v>18415.8</v>
      </c>
      <c r="K144" s="6"/>
    </row>
    <row r="145" spans="1:11" ht="24" x14ac:dyDescent="0.25">
      <c r="A145" s="3">
        <v>31</v>
      </c>
      <c r="B145" s="14" t="s">
        <v>43</v>
      </c>
      <c r="C145" s="15" t="str">
        <f>"2/2014-94"</f>
        <v>2/2014-94</v>
      </c>
      <c r="D145" s="15" t="str">
        <f t="shared" si="4"/>
        <v>EKO FOKUS D.O.O.</v>
      </c>
      <c r="E145" s="16">
        <v>41940</v>
      </c>
      <c r="F145" s="16">
        <v>42338</v>
      </c>
      <c r="G145" s="13">
        <v>2181.1999999999998</v>
      </c>
      <c r="H145" s="16">
        <v>42338</v>
      </c>
      <c r="I145" s="13">
        <v>2181.2199999999998</v>
      </c>
      <c r="J145" s="13">
        <f t="shared" si="5"/>
        <v>2726.5249999999996</v>
      </c>
      <c r="K145" s="6"/>
    </row>
    <row r="146" spans="1:11" x14ac:dyDescent="0.25">
      <c r="A146" s="3">
        <v>32</v>
      </c>
      <c r="B146" s="14" t="s">
        <v>33</v>
      </c>
      <c r="C146" s="15" t="str">
        <f>"2/2014-02"</f>
        <v>2/2014-02</v>
      </c>
      <c r="D146" s="15" t="str">
        <f t="shared" si="4"/>
        <v>EKO FOKUS D.O.O.</v>
      </c>
      <c r="E146" s="16">
        <v>41944</v>
      </c>
      <c r="F146" s="16">
        <v>42283</v>
      </c>
      <c r="G146" s="13">
        <v>19063.599999999999</v>
      </c>
      <c r="H146" s="16">
        <v>42283</v>
      </c>
      <c r="I146" s="13">
        <v>20250.45</v>
      </c>
      <c r="J146" s="13">
        <f t="shared" si="5"/>
        <v>25313.0625</v>
      </c>
      <c r="K146" s="6"/>
    </row>
    <row r="147" spans="1:11" x14ac:dyDescent="0.25">
      <c r="A147" s="3">
        <v>33</v>
      </c>
      <c r="B147" s="14" t="s">
        <v>33</v>
      </c>
      <c r="C147" s="15" t="str">
        <f>"2/2014-01"</f>
        <v>2/2014-01</v>
      </c>
      <c r="D147" s="15" t="str">
        <f t="shared" si="4"/>
        <v>EKO FOKUS D.O.O.</v>
      </c>
      <c r="E147" s="16">
        <v>41944</v>
      </c>
      <c r="F147" s="16">
        <v>42283</v>
      </c>
      <c r="G147" s="13">
        <v>74186.720000000001</v>
      </c>
      <c r="H147" s="16">
        <v>42283</v>
      </c>
      <c r="I147" s="13">
        <v>74600.259999999995</v>
      </c>
      <c r="J147" s="13">
        <f t="shared" si="5"/>
        <v>93250.324999999997</v>
      </c>
      <c r="K147" s="6"/>
    </row>
    <row r="148" spans="1:11" ht="7.5" customHeight="1" x14ac:dyDescent="0.25"/>
    <row r="149" spans="1:11" ht="42" customHeight="1" x14ac:dyDescent="0.25">
      <c r="A149" s="1" t="s">
        <v>0</v>
      </c>
      <c r="B149" s="2" t="s">
        <v>1</v>
      </c>
      <c r="C149" s="2" t="s">
        <v>6</v>
      </c>
      <c r="D149" s="2" t="s">
        <v>2</v>
      </c>
      <c r="E149" s="2" t="s">
        <v>3</v>
      </c>
      <c r="F149" s="2" t="s">
        <v>7</v>
      </c>
      <c r="G149" s="2" t="s">
        <v>8</v>
      </c>
      <c r="H149" s="2" t="s">
        <v>4</v>
      </c>
      <c r="I149" s="2" t="s">
        <v>5</v>
      </c>
    </row>
    <row r="150" spans="1:11" s="18" customFormat="1" x14ac:dyDescent="0.25">
      <c r="A150" s="3">
        <v>1</v>
      </c>
      <c r="B150" s="6" t="s">
        <v>76</v>
      </c>
      <c r="C150" s="3" t="s">
        <v>79</v>
      </c>
      <c r="D150" s="3" t="s">
        <v>699</v>
      </c>
      <c r="E150" s="3" t="s">
        <v>24</v>
      </c>
      <c r="F150" s="21">
        <v>41919</v>
      </c>
      <c r="G150" s="3" t="s">
        <v>668</v>
      </c>
      <c r="H150" s="13">
        <v>215000</v>
      </c>
      <c r="I150" s="13">
        <v>148526.76</v>
      </c>
    </row>
    <row r="151" spans="1:11" x14ac:dyDescent="0.25">
      <c r="A151" s="42" t="s">
        <v>706</v>
      </c>
      <c r="B151" s="43"/>
      <c r="C151" s="43"/>
      <c r="D151" s="43"/>
      <c r="E151" s="43"/>
      <c r="F151" s="43"/>
      <c r="G151" s="43"/>
      <c r="H151" s="44"/>
      <c r="I151" s="13">
        <v>134126.5</v>
      </c>
    </row>
    <row r="152" spans="1:11" ht="7.5" customHeight="1" x14ac:dyDescent="0.25"/>
    <row r="153" spans="1:11" x14ac:dyDescent="0.25">
      <c r="A153" s="46" t="s">
        <v>20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1:11" ht="63.75" customHeight="1" x14ac:dyDescent="0.25">
      <c r="A154" s="4" t="s">
        <v>0</v>
      </c>
      <c r="B154" s="5" t="s">
        <v>10</v>
      </c>
      <c r="C154" s="5" t="s">
        <v>9</v>
      </c>
      <c r="D154" s="5" t="s">
        <v>13</v>
      </c>
      <c r="E154" s="5" t="s">
        <v>12</v>
      </c>
      <c r="F154" s="5" t="s">
        <v>11</v>
      </c>
      <c r="G154" s="5" t="s">
        <v>18</v>
      </c>
      <c r="H154" s="5" t="s">
        <v>14</v>
      </c>
      <c r="I154" s="5" t="s">
        <v>15</v>
      </c>
      <c r="J154" s="5" t="s">
        <v>16</v>
      </c>
      <c r="K154" s="5" t="s">
        <v>17</v>
      </c>
    </row>
    <row r="155" spans="1:11" ht="24" x14ac:dyDescent="0.25">
      <c r="A155" s="3">
        <v>1</v>
      </c>
      <c r="B155" s="14" t="s">
        <v>49</v>
      </c>
      <c r="C155" s="15" t="str">
        <f>"982/2015"</f>
        <v>982/2015</v>
      </c>
      <c r="D155" s="15" t="str">
        <f t="shared" ref="D155:D169" si="6">CONCATENATE("OBRT ZA PRANJE I ČIŠĆENJE SJAJ")</f>
        <v>OBRT ZA PRANJE I ČIŠĆENJE SJAJ</v>
      </c>
      <c r="E155" s="16">
        <v>42283</v>
      </c>
      <c r="F155" s="16"/>
      <c r="G155" s="13">
        <v>236.95</v>
      </c>
      <c r="H155" s="16"/>
      <c r="I155" s="13">
        <v>236.95</v>
      </c>
      <c r="J155" s="13">
        <f>I155*1.25</f>
        <v>296.1875</v>
      </c>
      <c r="K155" s="6"/>
    </row>
    <row r="156" spans="1:11" ht="24" x14ac:dyDescent="0.25">
      <c r="A156" s="3">
        <v>2</v>
      </c>
      <c r="B156" s="14" t="s">
        <v>30</v>
      </c>
      <c r="C156" s="15" t="str">
        <f>"682/2015"</f>
        <v>682/2015</v>
      </c>
      <c r="D156" s="15" t="str">
        <f t="shared" si="6"/>
        <v>OBRT ZA PRANJE I ČIŠĆENJE SJAJ</v>
      </c>
      <c r="E156" s="16">
        <v>42309</v>
      </c>
      <c r="F156" s="16">
        <v>42314</v>
      </c>
      <c r="G156" s="13">
        <v>180</v>
      </c>
      <c r="H156" s="16">
        <v>42314</v>
      </c>
      <c r="I156" s="13">
        <v>180</v>
      </c>
      <c r="J156" s="13">
        <f t="shared" ref="J156:J169" si="7">I156*1.25</f>
        <v>225</v>
      </c>
      <c r="K156" s="6"/>
    </row>
    <row r="157" spans="1:11" ht="24" x14ac:dyDescent="0.25">
      <c r="A157" s="3">
        <v>3</v>
      </c>
      <c r="B157" s="14" t="s">
        <v>49</v>
      </c>
      <c r="C157" s="15" t="str">
        <f>"653/2015"</f>
        <v>653/2015</v>
      </c>
      <c r="D157" s="15" t="str">
        <f t="shared" si="6"/>
        <v>OBRT ZA PRANJE I ČIŠĆENJE SJAJ</v>
      </c>
      <c r="E157" s="16">
        <v>42174</v>
      </c>
      <c r="F157" s="16"/>
      <c r="G157" s="13">
        <v>213.26</v>
      </c>
      <c r="H157" s="16"/>
      <c r="I157" s="13">
        <v>213.26</v>
      </c>
      <c r="J157" s="13">
        <f t="shared" si="7"/>
        <v>266.57499999999999</v>
      </c>
      <c r="K157" s="6"/>
    </row>
    <row r="158" spans="1:11" ht="24" x14ac:dyDescent="0.25">
      <c r="A158" s="3">
        <v>4</v>
      </c>
      <c r="B158" s="14" t="s">
        <v>49</v>
      </c>
      <c r="C158" s="15" t="str">
        <f>"311/2015"</f>
        <v>311/2015</v>
      </c>
      <c r="D158" s="15" t="str">
        <f t="shared" si="6"/>
        <v>OBRT ZA PRANJE I ČIŠĆENJE SJAJ</v>
      </c>
      <c r="E158" s="16">
        <v>42088</v>
      </c>
      <c r="F158" s="16"/>
      <c r="G158" s="13">
        <v>184.82</v>
      </c>
      <c r="H158" s="16"/>
      <c r="I158" s="13">
        <v>184.82</v>
      </c>
      <c r="J158" s="13">
        <f t="shared" si="7"/>
        <v>231.02499999999998</v>
      </c>
      <c r="K158" s="6"/>
    </row>
    <row r="159" spans="1:11" ht="24" x14ac:dyDescent="0.25">
      <c r="A159" s="3">
        <v>5</v>
      </c>
      <c r="B159" s="14" t="s">
        <v>28</v>
      </c>
      <c r="C159" s="15" t="str">
        <f>"MGPU 2/2014-S"</f>
        <v>MGPU 2/2014-S</v>
      </c>
      <c r="D159" s="15" t="str">
        <f t="shared" si="6"/>
        <v>OBRT ZA PRANJE I ČIŠĆENJE SJAJ</v>
      </c>
      <c r="E159" s="16">
        <v>42016</v>
      </c>
      <c r="F159" s="16">
        <v>42284</v>
      </c>
      <c r="G159" s="13">
        <v>4770.8</v>
      </c>
      <c r="H159" s="16">
        <v>42284</v>
      </c>
      <c r="I159" s="13">
        <v>4202.66</v>
      </c>
      <c r="J159" s="13">
        <f t="shared" si="7"/>
        <v>5253.3249999999998</v>
      </c>
      <c r="K159" s="6"/>
    </row>
    <row r="160" spans="1:11" ht="24" x14ac:dyDescent="0.25">
      <c r="A160" s="3">
        <v>6</v>
      </c>
      <c r="B160" s="14" t="s">
        <v>30</v>
      </c>
      <c r="C160" s="15" t="str">
        <f>"510-C-U-7036/14-4 D1"</f>
        <v>510-C-U-7036/14-4 D1</v>
      </c>
      <c r="D160" s="15" t="str">
        <f t="shared" si="6"/>
        <v>OBRT ZA PRANJE I ČIŠĆENJE SJAJ</v>
      </c>
      <c r="E160" s="16">
        <v>42298</v>
      </c>
      <c r="F160" s="16">
        <v>42308</v>
      </c>
      <c r="G160" s="13">
        <v>333</v>
      </c>
      <c r="H160" s="16">
        <v>42308</v>
      </c>
      <c r="I160" s="13">
        <v>333</v>
      </c>
      <c r="J160" s="13">
        <f t="shared" si="7"/>
        <v>416.25</v>
      </c>
      <c r="K160" s="6"/>
    </row>
    <row r="161" spans="1:11" ht="24" x14ac:dyDescent="0.25">
      <c r="A161" s="3">
        <v>7</v>
      </c>
      <c r="B161" s="14" t="s">
        <v>49</v>
      </c>
      <c r="C161" s="15" t="str">
        <f>"000070/2015"</f>
        <v>000070/2015</v>
      </c>
      <c r="D161" s="15" t="str">
        <f t="shared" si="6"/>
        <v>OBRT ZA PRANJE I ČIŠĆENJE SJAJ</v>
      </c>
      <c r="E161" s="16">
        <v>42034</v>
      </c>
      <c r="F161" s="16">
        <v>42094</v>
      </c>
      <c r="G161" s="13">
        <v>120.84</v>
      </c>
      <c r="H161" s="16">
        <v>42094</v>
      </c>
      <c r="I161" s="13">
        <v>120.85</v>
      </c>
      <c r="J161" s="13">
        <f t="shared" si="7"/>
        <v>151.0625</v>
      </c>
      <c r="K161" s="6"/>
    </row>
    <row r="162" spans="1:11" ht="24" x14ac:dyDescent="0.25">
      <c r="A162" s="3">
        <v>8</v>
      </c>
      <c r="B162" s="14" t="s">
        <v>31</v>
      </c>
      <c r="C162" s="15" t="str">
        <f>"129/14"</f>
        <v>129/14</v>
      </c>
      <c r="D162" s="15" t="str">
        <f t="shared" si="6"/>
        <v>OBRT ZA PRANJE I ČIŠĆENJE SJAJ</v>
      </c>
      <c r="E162" s="16">
        <v>41997</v>
      </c>
      <c r="F162" s="16">
        <v>42284</v>
      </c>
      <c r="G162" s="13">
        <v>6219.41</v>
      </c>
      <c r="H162" s="16">
        <v>42284</v>
      </c>
      <c r="I162" s="13">
        <v>5364.54</v>
      </c>
      <c r="J162" s="13">
        <f t="shared" si="7"/>
        <v>6705.6750000000002</v>
      </c>
      <c r="K162" s="6"/>
    </row>
    <row r="163" spans="1:11" ht="24" x14ac:dyDescent="0.25">
      <c r="A163" s="3">
        <v>9</v>
      </c>
      <c r="B163" s="14" t="s">
        <v>44</v>
      </c>
      <c r="C163" s="15" t="str">
        <f>"2/2014-82"</f>
        <v>2/2014-82</v>
      </c>
      <c r="D163" s="15" t="str">
        <f t="shared" si="6"/>
        <v>OBRT ZA PRANJE I ČIŠĆENJE SJAJ</v>
      </c>
      <c r="E163" s="16">
        <v>41968</v>
      </c>
      <c r="F163" s="16">
        <v>42339</v>
      </c>
      <c r="G163" s="13">
        <v>67874.58</v>
      </c>
      <c r="H163" s="16">
        <v>42339</v>
      </c>
      <c r="I163" s="13">
        <v>67874.69</v>
      </c>
      <c r="J163" s="13">
        <f t="shared" si="7"/>
        <v>84843.362500000003</v>
      </c>
      <c r="K163" s="6"/>
    </row>
    <row r="164" spans="1:11" ht="24" x14ac:dyDescent="0.25">
      <c r="A164" s="3">
        <v>10</v>
      </c>
      <c r="B164" s="14" t="s">
        <v>54</v>
      </c>
      <c r="C164" s="15" t="str">
        <f>"2/2014-37"</f>
        <v>2/2014-37</v>
      </c>
      <c r="D164" s="15" t="str">
        <f t="shared" si="6"/>
        <v>OBRT ZA PRANJE I ČIŠĆENJE SJAJ</v>
      </c>
      <c r="E164" s="16">
        <v>41957</v>
      </c>
      <c r="F164" s="16">
        <v>42339</v>
      </c>
      <c r="G164" s="13">
        <v>6484.98</v>
      </c>
      <c r="H164" s="16">
        <v>42339</v>
      </c>
      <c r="I164" s="13">
        <v>5751.75</v>
      </c>
      <c r="J164" s="13">
        <f t="shared" si="7"/>
        <v>7189.6875</v>
      </c>
      <c r="K164" s="6"/>
    </row>
    <row r="165" spans="1:11" ht="24" x14ac:dyDescent="0.25">
      <c r="A165" s="3">
        <v>11</v>
      </c>
      <c r="B165" s="14" t="s">
        <v>30</v>
      </c>
      <c r="C165" s="15" t="str">
        <f>"510-C-U-7036/14-4"</f>
        <v>510-C-U-7036/14-4</v>
      </c>
      <c r="D165" s="15" t="str">
        <f t="shared" si="6"/>
        <v>OBRT ZA PRANJE I ČIŠĆENJE SJAJ</v>
      </c>
      <c r="E165" s="16">
        <v>41970</v>
      </c>
      <c r="F165" s="16">
        <v>42284</v>
      </c>
      <c r="G165" s="13">
        <v>4366.3999999999996</v>
      </c>
      <c r="H165" s="16">
        <v>42284</v>
      </c>
      <c r="I165" s="13">
        <v>4366</v>
      </c>
      <c r="J165" s="13">
        <f t="shared" si="7"/>
        <v>5457.5</v>
      </c>
      <c r="K165" s="6"/>
    </row>
    <row r="166" spans="1:11" ht="24" x14ac:dyDescent="0.25">
      <c r="A166" s="3">
        <v>12</v>
      </c>
      <c r="B166" s="14" t="s">
        <v>42</v>
      </c>
      <c r="C166" s="15" t="str">
        <f>"SNUG-202-14-0074"</f>
        <v>SNUG-202-14-0074</v>
      </c>
      <c r="D166" s="15" t="str">
        <f t="shared" si="6"/>
        <v>OBRT ZA PRANJE I ČIŠĆENJE SJAJ</v>
      </c>
      <c r="E166" s="16">
        <v>41949</v>
      </c>
      <c r="F166" s="16">
        <v>42284</v>
      </c>
      <c r="G166" s="13">
        <v>7635.92</v>
      </c>
      <c r="H166" s="16">
        <v>42284</v>
      </c>
      <c r="I166" s="13">
        <v>6999.61</v>
      </c>
      <c r="J166" s="13">
        <f t="shared" si="7"/>
        <v>8749.5124999999989</v>
      </c>
      <c r="K166" s="6"/>
    </row>
    <row r="167" spans="1:11" ht="24" x14ac:dyDescent="0.25">
      <c r="A167" s="3">
        <v>13</v>
      </c>
      <c r="B167" s="14" t="s">
        <v>35</v>
      </c>
      <c r="C167" s="15" t="str">
        <f>"284/2014"</f>
        <v>284/2014</v>
      </c>
      <c r="D167" s="15" t="str">
        <f t="shared" si="6"/>
        <v>OBRT ZA PRANJE I ČIŠĆENJE SJAJ</v>
      </c>
      <c r="E167" s="16">
        <v>41946</v>
      </c>
      <c r="F167" s="16">
        <v>42317</v>
      </c>
      <c r="G167" s="13">
        <v>26954.06</v>
      </c>
      <c r="H167" s="16">
        <v>42317</v>
      </c>
      <c r="I167" s="13">
        <v>26455.41</v>
      </c>
      <c r="J167" s="13">
        <f t="shared" si="7"/>
        <v>33069.262499999997</v>
      </c>
      <c r="K167" s="6"/>
    </row>
    <row r="168" spans="1:11" ht="24" x14ac:dyDescent="0.25">
      <c r="A168" s="3">
        <v>14</v>
      </c>
      <c r="B168" s="14" t="s">
        <v>51</v>
      </c>
      <c r="C168" s="15" t="str">
        <f>"002330/2014"</f>
        <v>002330/2014</v>
      </c>
      <c r="D168" s="15" t="str">
        <f t="shared" si="6"/>
        <v>OBRT ZA PRANJE I ČIŠĆENJE SJAJ</v>
      </c>
      <c r="E168" s="16">
        <v>41943</v>
      </c>
      <c r="F168" s="16">
        <v>42309</v>
      </c>
      <c r="G168" s="13">
        <v>6378.84</v>
      </c>
      <c r="H168" s="16">
        <v>42309</v>
      </c>
      <c r="I168" s="13">
        <v>6378.84</v>
      </c>
      <c r="J168" s="13">
        <f t="shared" si="7"/>
        <v>7973.55</v>
      </c>
      <c r="K168" s="6"/>
    </row>
    <row r="169" spans="1:11" ht="24" x14ac:dyDescent="0.25">
      <c r="A169" s="3">
        <v>15</v>
      </c>
      <c r="B169" s="14" t="s">
        <v>33</v>
      </c>
      <c r="C169" s="15" t="str">
        <f>"2/2014-13"</f>
        <v>2/2014-13</v>
      </c>
      <c r="D169" s="15" t="str">
        <f t="shared" si="6"/>
        <v>OBRT ZA PRANJE I ČIŠĆENJE SJAJ</v>
      </c>
      <c r="E169" s="16">
        <v>41944</v>
      </c>
      <c r="F169" s="16">
        <v>42283</v>
      </c>
      <c r="G169" s="13">
        <v>6830.15</v>
      </c>
      <c r="H169" s="16">
        <v>42283</v>
      </c>
      <c r="I169" s="13">
        <v>5464.12</v>
      </c>
      <c r="J169" s="13">
        <f t="shared" si="7"/>
        <v>6830.15</v>
      </c>
      <c r="K169" s="6"/>
    </row>
    <row r="170" spans="1:11" ht="7.5" customHeight="1" x14ac:dyDescent="0.25"/>
    <row r="171" spans="1:11" ht="42" customHeight="1" x14ac:dyDescent="0.25">
      <c r="A171" s="1" t="s">
        <v>0</v>
      </c>
      <c r="B171" s="2" t="s">
        <v>1</v>
      </c>
      <c r="C171" s="2" t="s">
        <v>6</v>
      </c>
      <c r="D171" s="2" t="s">
        <v>2</v>
      </c>
      <c r="E171" s="2" t="s">
        <v>3</v>
      </c>
      <c r="F171" s="2" t="s">
        <v>7</v>
      </c>
      <c r="G171" s="2" t="s">
        <v>8</v>
      </c>
      <c r="H171" s="2" t="s">
        <v>4</v>
      </c>
      <c r="I171" s="2" t="s">
        <v>5</v>
      </c>
    </row>
    <row r="172" spans="1:11" s="18" customFormat="1" x14ac:dyDescent="0.25">
      <c r="A172" s="3">
        <v>1</v>
      </c>
      <c r="B172" s="6" t="s">
        <v>76</v>
      </c>
      <c r="C172" s="3" t="s">
        <v>80</v>
      </c>
      <c r="D172" s="3" t="s">
        <v>699</v>
      </c>
      <c r="E172" s="3" t="s">
        <v>24</v>
      </c>
      <c r="F172" s="21">
        <v>41919</v>
      </c>
      <c r="G172" s="3" t="s">
        <v>668</v>
      </c>
      <c r="H172" s="13">
        <v>8280000</v>
      </c>
      <c r="I172" s="13">
        <v>3604287</v>
      </c>
    </row>
    <row r="173" spans="1:11" x14ac:dyDescent="0.25">
      <c r="A173" s="42" t="s">
        <v>706</v>
      </c>
      <c r="B173" s="43"/>
      <c r="C173" s="43"/>
      <c r="D173" s="43"/>
      <c r="E173" s="43"/>
      <c r="F173" s="43"/>
      <c r="G173" s="43"/>
      <c r="H173" s="44"/>
      <c r="I173" s="13">
        <v>3365383.48</v>
      </c>
    </row>
    <row r="174" spans="1:11" ht="7.5" customHeight="1" x14ac:dyDescent="0.25"/>
    <row r="175" spans="1:11" x14ac:dyDescent="0.25">
      <c r="A175" s="46" t="s">
        <v>20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1:11" ht="63.75" customHeight="1" x14ac:dyDescent="0.25">
      <c r="A176" s="4" t="s">
        <v>0</v>
      </c>
      <c r="B176" s="5" t="s">
        <v>10</v>
      </c>
      <c r="C176" s="5" t="s">
        <v>9</v>
      </c>
      <c r="D176" s="5" t="s">
        <v>13</v>
      </c>
      <c r="E176" s="5" t="s">
        <v>12</v>
      </c>
      <c r="F176" s="5" t="s">
        <v>11</v>
      </c>
      <c r="G176" s="5" t="s">
        <v>18</v>
      </c>
      <c r="H176" s="5" t="s">
        <v>14</v>
      </c>
      <c r="I176" s="5" t="s">
        <v>15</v>
      </c>
      <c r="J176" s="5" t="s">
        <v>16</v>
      </c>
      <c r="K176" s="5" t="s">
        <v>17</v>
      </c>
    </row>
    <row r="177" spans="1:11" x14ac:dyDescent="0.25">
      <c r="A177" s="3">
        <v>1</v>
      </c>
      <c r="B177" s="14" t="s">
        <v>81</v>
      </c>
      <c r="C177" s="15" t="str">
        <f>"NAR/2015-19"</f>
        <v>NAR/2015-19</v>
      </c>
      <c r="D177" s="15" t="str">
        <f t="shared" ref="D177:D208" si="8">CONCATENATE("FORSET")</f>
        <v>FORSET</v>
      </c>
      <c r="E177" s="16">
        <v>42005</v>
      </c>
      <c r="F177" s="16">
        <v>42369</v>
      </c>
      <c r="G177" s="13">
        <v>5412.54</v>
      </c>
      <c r="H177" s="16">
        <v>42369</v>
      </c>
      <c r="I177" s="13">
        <v>5412.54</v>
      </c>
      <c r="J177" s="13">
        <f>I177*1.25</f>
        <v>6765.6750000000002</v>
      </c>
      <c r="K177" s="6"/>
    </row>
    <row r="178" spans="1:11" x14ac:dyDescent="0.25">
      <c r="A178" s="3">
        <v>2</v>
      </c>
      <c r="B178" s="14" t="s">
        <v>49</v>
      </c>
      <c r="C178" s="15" t="str">
        <f>"265/2015"</f>
        <v>265/2015</v>
      </c>
      <c r="D178" s="15" t="str">
        <f t="shared" si="8"/>
        <v>FORSET</v>
      </c>
      <c r="E178" s="16">
        <v>42079</v>
      </c>
      <c r="F178" s="16"/>
      <c r="G178" s="13">
        <v>7974.01</v>
      </c>
      <c r="H178" s="16"/>
      <c r="I178" s="13">
        <v>7974.01</v>
      </c>
      <c r="J178" s="13">
        <f t="shared" ref="J178:J226" si="9">I178*1.25</f>
        <v>9967.5125000000007</v>
      </c>
      <c r="K178" s="6"/>
    </row>
    <row r="179" spans="1:11" ht="24" x14ac:dyDescent="0.25">
      <c r="A179" s="3">
        <v>3</v>
      </c>
      <c r="B179" s="14" t="s">
        <v>28</v>
      </c>
      <c r="C179" s="15" t="str">
        <f>"MGPU 2/2014-F"</f>
        <v>MGPU 2/2014-F</v>
      </c>
      <c r="D179" s="15" t="str">
        <f t="shared" si="8"/>
        <v>FORSET</v>
      </c>
      <c r="E179" s="16">
        <v>42037</v>
      </c>
      <c r="F179" s="16">
        <v>42284</v>
      </c>
      <c r="G179" s="13">
        <v>127249.67</v>
      </c>
      <c r="H179" s="16">
        <v>42284</v>
      </c>
      <c r="I179" s="13">
        <v>106018.25</v>
      </c>
      <c r="J179" s="13">
        <f t="shared" si="9"/>
        <v>132522.8125</v>
      </c>
      <c r="K179" s="6"/>
    </row>
    <row r="180" spans="1:11" ht="24" x14ac:dyDescent="0.25">
      <c r="A180" s="3">
        <v>4</v>
      </c>
      <c r="B180" s="14" t="s">
        <v>30</v>
      </c>
      <c r="C180" s="15" t="str">
        <f>"717/2015"</f>
        <v>717/2015</v>
      </c>
      <c r="D180" s="15" t="str">
        <f t="shared" si="8"/>
        <v>FORSET</v>
      </c>
      <c r="E180" s="16">
        <v>42310</v>
      </c>
      <c r="F180" s="16">
        <v>42314</v>
      </c>
      <c r="G180" s="13">
        <v>982</v>
      </c>
      <c r="H180" s="16">
        <v>42314</v>
      </c>
      <c r="I180" s="13">
        <v>982</v>
      </c>
      <c r="J180" s="13">
        <f t="shared" si="9"/>
        <v>1227.5</v>
      </c>
      <c r="K180" s="6"/>
    </row>
    <row r="181" spans="1:11" ht="24" x14ac:dyDescent="0.25">
      <c r="A181" s="3">
        <v>5</v>
      </c>
      <c r="B181" s="14" t="s">
        <v>30</v>
      </c>
      <c r="C181" s="15" t="str">
        <f>"537/2015"</f>
        <v>537/2015</v>
      </c>
      <c r="D181" s="15" t="str">
        <f t="shared" si="8"/>
        <v>FORSET</v>
      </c>
      <c r="E181" s="16">
        <v>42285</v>
      </c>
      <c r="F181" s="16">
        <v>42308</v>
      </c>
      <c r="G181" s="13">
        <v>3267</v>
      </c>
      <c r="H181" s="16">
        <v>42308</v>
      </c>
      <c r="I181" s="13">
        <v>3267</v>
      </c>
      <c r="J181" s="13">
        <f t="shared" si="9"/>
        <v>4083.75</v>
      </c>
      <c r="K181" s="6"/>
    </row>
    <row r="182" spans="1:11" ht="24" x14ac:dyDescent="0.25">
      <c r="A182" s="3">
        <v>6</v>
      </c>
      <c r="B182" s="14" t="s">
        <v>39</v>
      </c>
      <c r="C182" s="15" t="str">
        <f>"519/15"</f>
        <v>519/15</v>
      </c>
      <c r="D182" s="15" t="str">
        <f t="shared" si="8"/>
        <v>FORSET</v>
      </c>
      <c r="E182" s="16">
        <v>42289</v>
      </c>
      <c r="F182" s="16"/>
      <c r="G182" s="13">
        <v>73.7</v>
      </c>
      <c r="H182" s="16"/>
      <c r="I182" s="13">
        <v>92.13</v>
      </c>
      <c r="J182" s="13">
        <f t="shared" si="9"/>
        <v>115.16249999999999</v>
      </c>
      <c r="K182" s="6"/>
    </row>
    <row r="183" spans="1:11" ht="24" x14ac:dyDescent="0.25">
      <c r="A183" s="3">
        <v>7</v>
      </c>
      <c r="B183" s="14" t="s">
        <v>39</v>
      </c>
      <c r="C183" s="15" t="str">
        <f>"488/15"</f>
        <v>488/15</v>
      </c>
      <c r="D183" s="15" t="str">
        <f t="shared" si="8"/>
        <v>FORSET</v>
      </c>
      <c r="E183" s="16">
        <v>42265</v>
      </c>
      <c r="F183" s="16"/>
      <c r="G183" s="13">
        <v>46.25</v>
      </c>
      <c r="H183" s="16"/>
      <c r="I183" s="13">
        <v>57.81</v>
      </c>
      <c r="J183" s="13">
        <f t="shared" si="9"/>
        <v>72.262500000000003</v>
      </c>
      <c r="K183" s="6"/>
    </row>
    <row r="184" spans="1:11" ht="24" x14ac:dyDescent="0.25">
      <c r="A184" s="3">
        <v>8</v>
      </c>
      <c r="B184" s="14" t="s">
        <v>39</v>
      </c>
      <c r="C184" s="15" t="str">
        <f>"458/15"</f>
        <v>458/15</v>
      </c>
      <c r="D184" s="15" t="str">
        <f t="shared" si="8"/>
        <v>FORSET</v>
      </c>
      <c r="E184" s="16">
        <v>42250</v>
      </c>
      <c r="F184" s="16"/>
      <c r="G184" s="13">
        <v>374</v>
      </c>
      <c r="H184" s="16"/>
      <c r="I184" s="13">
        <v>467.5</v>
      </c>
      <c r="J184" s="13">
        <f t="shared" si="9"/>
        <v>584.375</v>
      </c>
      <c r="K184" s="6"/>
    </row>
    <row r="185" spans="1:11" ht="24" x14ac:dyDescent="0.25">
      <c r="A185" s="3">
        <v>9</v>
      </c>
      <c r="B185" s="14" t="s">
        <v>39</v>
      </c>
      <c r="C185" s="15" t="str">
        <f>"457/15"</f>
        <v>457/15</v>
      </c>
      <c r="D185" s="15" t="str">
        <f t="shared" si="8"/>
        <v>FORSET</v>
      </c>
      <c r="E185" s="16">
        <v>42250</v>
      </c>
      <c r="F185" s="16"/>
      <c r="G185" s="13">
        <v>214.2</v>
      </c>
      <c r="H185" s="16"/>
      <c r="I185" s="13">
        <v>267.75</v>
      </c>
      <c r="J185" s="13">
        <f t="shared" si="9"/>
        <v>334.6875</v>
      </c>
      <c r="K185" s="6"/>
    </row>
    <row r="186" spans="1:11" ht="24" x14ac:dyDescent="0.25">
      <c r="A186" s="3">
        <v>10</v>
      </c>
      <c r="B186" s="14" t="s">
        <v>39</v>
      </c>
      <c r="C186" s="15" t="str">
        <f>"149/2015"</f>
        <v>149/2015</v>
      </c>
      <c r="D186" s="15" t="str">
        <f t="shared" si="8"/>
        <v>FORSET</v>
      </c>
      <c r="E186" s="16">
        <v>42086</v>
      </c>
      <c r="F186" s="16"/>
      <c r="G186" s="13">
        <v>5950</v>
      </c>
      <c r="H186" s="16"/>
      <c r="I186" s="13">
        <v>4156.53</v>
      </c>
      <c r="J186" s="13">
        <f t="shared" si="9"/>
        <v>5195.6624999999995</v>
      </c>
      <c r="K186" s="6"/>
    </row>
    <row r="187" spans="1:11" ht="24" x14ac:dyDescent="0.25">
      <c r="A187" s="3">
        <v>11</v>
      </c>
      <c r="B187" s="14" t="s">
        <v>39</v>
      </c>
      <c r="C187" s="15" t="str">
        <f>"46/15"</f>
        <v>46/15</v>
      </c>
      <c r="D187" s="15" t="str">
        <f t="shared" si="8"/>
        <v>FORSET</v>
      </c>
      <c r="E187" s="16">
        <v>42038</v>
      </c>
      <c r="F187" s="16"/>
      <c r="G187" s="13">
        <v>204</v>
      </c>
      <c r="H187" s="16"/>
      <c r="I187" s="13">
        <v>255</v>
      </c>
      <c r="J187" s="13">
        <f t="shared" si="9"/>
        <v>318.75</v>
      </c>
      <c r="K187" s="6"/>
    </row>
    <row r="188" spans="1:11" ht="24" x14ac:dyDescent="0.25">
      <c r="A188" s="3">
        <v>12</v>
      </c>
      <c r="B188" s="14" t="s">
        <v>39</v>
      </c>
      <c r="C188" s="15" t="str">
        <f>"22/15"</f>
        <v>22/15</v>
      </c>
      <c r="D188" s="15" t="str">
        <f t="shared" si="8"/>
        <v>FORSET</v>
      </c>
      <c r="E188" s="16">
        <v>42030</v>
      </c>
      <c r="F188" s="16"/>
      <c r="G188" s="13">
        <v>5950</v>
      </c>
      <c r="H188" s="16"/>
      <c r="I188" s="13">
        <v>85</v>
      </c>
      <c r="J188" s="13">
        <f t="shared" si="9"/>
        <v>106.25</v>
      </c>
      <c r="K188" s="6"/>
    </row>
    <row r="189" spans="1:11" x14ac:dyDescent="0.25">
      <c r="A189" s="3">
        <v>13</v>
      </c>
      <c r="B189" s="14" t="s">
        <v>49</v>
      </c>
      <c r="C189" s="15" t="str">
        <f>"967/2015"</f>
        <v>967/2015</v>
      </c>
      <c r="D189" s="15" t="str">
        <f t="shared" si="8"/>
        <v>FORSET</v>
      </c>
      <c r="E189" s="16">
        <v>42278</v>
      </c>
      <c r="F189" s="16"/>
      <c r="G189" s="13">
        <v>543.20000000000005</v>
      </c>
      <c r="H189" s="16"/>
      <c r="I189" s="13">
        <v>543.20000000000005</v>
      </c>
      <c r="J189" s="13">
        <f t="shared" si="9"/>
        <v>679</v>
      </c>
      <c r="K189" s="6"/>
    </row>
    <row r="190" spans="1:11" x14ac:dyDescent="0.25">
      <c r="A190" s="3">
        <v>14</v>
      </c>
      <c r="B190" s="14" t="s">
        <v>49</v>
      </c>
      <c r="C190" s="15" t="str">
        <f>"651/2015"</f>
        <v>651/2015</v>
      </c>
      <c r="D190" s="15" t="str">
        <f t="shared" si="8"/>
        <v>FORSET</v>
      </c>
      <c r="E190" s="16">
        <v>42174</v>
      </c>
      <c r="F190" s="16"/>
      <c r="G190" s="13">
        <v>2602.88</v>
      </c>
      <c r="H190" s="16"/>
      <c r="I190" s="13">
        <v>2602.88</v>
      </c>
      <c r="J190" s="13">
        <f t="shared" si="9"/>
        <v>3253.6000000000004</v>
      </c>
      <c r="K190" s="6"/>
    </row>
    <row r="191" spans="1:11" x14ac:dyDescent="0.25">
      <c r="A191" s="3">
        <v>15</v>
      </c>
      <c r="B191" s="14" t="s">
        <v>49</v>
      </c>
      <c r="C191" s="15" t="str">
        <f>"264/2015"</f>
        <v>264/2015</v>
      </c>
      <c r="D191" s="15" t="str">
        <f t="shared" si="8"/>
        <v>FORSET</v>
      </c>
      <c r="E191" s="16">
        <v>42079</v>
      </c>
      <c r="F191" s="16"/>
      <c r="G191" s="13">
        <v>1391.4</v>
      </c>
      <c r="H191" s="16"/>
      <c r="I191" s="13">
        <v>1391.4</v>
      </c>
      <c r="J191" s="13">
        <f t="shared" si="9"/>
        <v>1739.25</v>
      </c>
      <c r="K191" s="6"/>
    </row>
    <row r="192" spans="1:11" x14ac:dyDescent="0.25">
      <c r="A192" s="3">
        <v>16</v>
      </c>
      <c r="B192" s="14" t="s">
        <v>49</v>
      </c>
      <c r="C192" s="15" t="str">
        <f>"968/2015"</f>
        <v>968/2015</v>
      </c>
      <c r="D192" s="15" t="str">
        <f t="shared" si="8"/>
        <v>FORSET</v>
      </c>
      <c r="E192" s="16">
        <v>42278</v>
      </c>
      <c r="F192" s="16"/>
      <c r="G192" s="13">
        <v>402.6</v>
      </c>
      <c r="H192" s="16"/>
      <c r="I192" s="13">
        <v>402.6</v>
      </c>
      <c r="J192" s="13">
        <f t="shared" si="9"/>
        <v>503.25</v>
      </c>
      <c r="K192" s="6"/>
    </row>
    <row r="193" spans="1:11" x14ac:dyDescent="0.25">
      <c r="A193" s="3">
        <v>17</v>
      </c>
      <c r="B193" s="14" t="s">
        <v>49</v>
      </c>
      <c r="C193" s="15" t="str">
        <f>"650/2015"</f>
        <v>650/2015</v>
      </c>
      <c r="D193" s="15" t="str">
        <f t="shared" si="8"/>
        <v>FORSET</v>
      </c>
      <c r="E193" s="16">
        <v>42174</v>
      </c>
      <c r="F193" s="16"/>
      <c r="G193" s="13">
        <v>1246.02</v>
      </c>
      <c r="H193" s="16"/>
      <c r="I193" s="13">
        <v>1246.02</v>
      </c>
      <c r="J193" s="13">
        <f t="shared" si="9"/>
        <v>1557.5250000000001</v>
      </c>
      <c r="K193" s="6"/>
    </row>
    <row r="194" spans="1:11" x14ac:dyDescent="0.25">
      <c r="A194" s="3">
        <v>18</v>
      </c>
      <c r="B194" s="14" t="s">
        <v>49</v>
      </c>
      <c r="C194" s="15" t="str">
        <f>"486/2015"</f>
        <v>486/2015</v>
      </c>
      <c r="D194" s="15" t="str">
        <f t="shared" si="8"/>
        <v>FORSET</v>
      </c>
      <c r="E194" s="16">
        <v>42131</v>
      </c>
      <c r="F194" s="16"/>
      <c r="G194" s="13">
        <v>850</v>
      </c>
      <c r="H194" s="16"/>
      <c r="I194" s="13">
        <v>850</v>
      </c>
      <c r="J194" s="13">
        <f t="shared" si="9"/>
        <v>1062.5</v>
      </c>
      <c r="K194" s="6"/>
    </row>
    <row r="195" spans="1:11" x14ac:dyDescent="0.25">
      <c r="A195" s="3">
        <v>19</v>
      </c>
      <c r="B195" s="14" t="s">
        <v>49</v>
      </c>
      <c r="C195" s="15" t="str">
        <f>"460/2015"</f>
        <v>460/2015</v>
      </c>
      <c r="D195" s="15" t="str">
        <f t="shared" si="8"/>
        <v>FORSET</v>
      </c>
      <c r="E195" s="16">
        <v>42123</v>
      </c>
      <c r="F195" s="16"/>
      <c r="G195" s="13">
        <v>4350</v>
      </c>
      <c r="H195" s="16"/>
      <c r="I195" s="13">
        <v>4350</v>
      </c>
      <c r="J195" s="13">
        <f t="shared" si="9"/>
        <v>5437.5</v>
      </c>
      <c r="K195" s="6"/>
    </row>
    <row r="196" spans="1:11" x14ac:dyDescent="0.25">
      <c r="A196" s="3">
        <v>20</v>
      </c>
      <c r="B196" s="14" t="s">
        <v>49</v>
      </c>
      <c r="C196" s="15" t="str">
        <f>"969/2015"</f>
        <v>969/2015</v>
      </c>
      <c r="D196" s="15" t="str">
        <f t="shared" si="8"/>
        <v>FORSET</v>
      </c>
      <c r="E196" s="16">
        <v>42278</v>
      </c>
      <c r="F196" s="16"/>
      <c r="G196" s="13">
        <v>3181.4</v>
      </c>
      <c r="H196" s="16"/>
      <c r="I196" s="13">
        <v>3181.4</v>
      </c>
      <c r="J196" s="13">
        <f t="shared" si="9"/>
        <v>3976.75</v>
      </c>
      <c r="K196" s="6"/>
    </row>
    <row r="197" spans="1:11" x14ac:dyDescent="0.25">
      <c r="A197" s="3">
        <v>21</v>
      </c>
      <c r="B197" s="14" t="s">
        <v>49</v>
      </c>
      <c r="C197" s="15" t="str">
        <f>"652/2015"</f>
        <v>652/2015</v>
      </c>
      <c r="D197" s="15" t="str">
        <f t="shared" si="8"/>
        <v>FORSET</v>
      </c>
      <c r="E197" s="16">
        <v>42174</v>
      </c>
      <c r="F197" s="16"/>
      <c r="G197" s="13">
        <v>9303.0300000000007</v>
      </c>
      <c r="H197" s="16"/>
      <c r="I197" s="13">
        <v>9303.0300000000007</v>
      </c>
      <c r="J197" s="13">
        <f t="shared" si="9"/>
        <v>11628.7875</v>
      </c>
      <c r="K197" s="6"/>
    </row>
    <row r="198" spans="1:11" x14ac:dyDescent="0.25">
      <c r="A198" s="3">
        <v>22</v>
      </c>
      <c r="B198" s="14" t="s">
        <v>49</v>
      </c>
      <c r="C198" s="15" t="str">
        <f>"487/2015"</f>
        <v>487/2015</v>
      </c>
      <c r="D198" s="15" t="str">
        <f t="shared" si="8"/>
        <v>FORSET</v>
      </c>
      <c r="E198" s="16">
        <v>42131</v>
      </c>
      <c r="F198" s="16"/>
      <c r="G198" s="13">
        <v>647.5</v>
      </c>
      <c r="H198" s="16"/>
      <c r="I198" s="13">
        <v>647.5</v>
      </c>
      <c r="J198" s="13">
        <f t="shared" si="9"/>
        <v>809.375</v>
      </c>
      <c r="K198" s="6"/>
    </row>
    <row r="199" spans="1:11" ht="24" x14ac:dyDescent="0.25">
      <c r="A199" s="3">
        <v>23</v>
      </c>
      <c r="B199" s="14" t="s">
        <v>45</v>
      </c>
      <c r="C199" s="15" t="str">
        <f>"2/2014-F-U2"</f>
        <v>2/2014-F-U2</v>
      </c>
      <c r="D199" s="15" t="str">
        <f t="shared" si="8"/>
        <v>FORSET</v>
      </c>
      <c r="E199" s="16">
        <v>41992</v>
      </c>
      <c r="F199" s="16"/>
      <c r="G199" s="13">
        <v>64252.68</v>
      </c>
      <c r="H199" s="16"/>
      <c r="I199" s="13">
        <v>64954.15</v>
      </c>
      <c r="J199" s="13">
        <f t="shared" si="9"/>
        <v>81192.6875</v>
      </c>
      <c r="K199" s="6"/>
    </row>
    <row r="200" spans="1:11" ht="24" x14ac:dyDescent="0.25">
      <c r="A200" s="3">
        <v>24</v>
      </c>
      <c r="B200" s="14" t="s">
        <v>58</v>
      </c>
      <c r="C200" s="15" t="str">
        <f>"4500010499"</f>
        <v>4500010499</v>
      </c>
      <c r="D200" s="15" t="str">
        <f t="shared" si="8"/>
        <v>FORSET</v>
      </c>
      <c r="E200" s="16">
        <v>42475</v>
      </c>
      <c r="F200" s="16">
        <v>42283</v>
      </c>
      <c r="G200" s="13">
        <v>2066.4</v>
      </c>
      <c r="H200" s="16">
        <v>42283</v>
      </c>
      <c r="I200" s="13">
        <v>2066.4</v>
      </c>
      <c r="J200" s="13">
        <f t="shared" si="9"/>
        <v>2583</v>
      </c>
      <c r="K200" s="6"/>
    </row>
    <row r="201" spans="1:11" ht="24" x14ac:dyDescent="0.25">
      <c r="A201" s="3">
        <v>25</v>
      </c>
      <c r="B201" s="14" t="s">
        <v>58</v>
      </c>
      <c r="C201" s="15" t="str">
        <f>"4500009870"</f>
        <v>4500009870</v>
      </c>
      <c r="D201" s="15" t="str">
        <f t="shared" si="8"/>
        <v>FORSET</v>
      </c>
      <c r="E201" s="16">
        <v>42475</v>
      </c>
      <c r="F201" s="16">
        <v>42156</v>
      </c>
      <c r="G201" s="13">
        <v>340</v>
      </c>
      <c r="H201" s="16">
        <v>42156</v>
      </c>
      <c r="I201" s="13">
        <v>340</v>
      </c>
      <c r="J201" s="13">
        <f t="shared" si="9"/>
        <v>425</v>
      </c>
      <c r="K201" s="6"/>
    </row>
    <row r="202" spans="1:11" ht="24" x14ac:dyDescent="0.25">
      <c r="A202" s="3">
        <v>26</v>
      </c>
      <c r="B202" s="14" t="s">
        <v>58</v>
      </c>
      <c r="C202" s="15" t="str">
        <f>"4500009858"</f>
        <v>4500009858</v>
      </c>
      <c r="D202" s="15" t="str">
        <f t="shared" si="8"/>
        <v>FORSET</v>
      </c>
      <c r="E202" s="16">
        <v>42475</v>
      </c>
      <c r="F202" s="16">
        <v>42277</v>
      </c>
      <c r="G202" s="13">
        <v>34680.800000000003</v>
      </c>
      <c r="H202" s="16">
        <v>42277</v>
      </c>
      <c r="I202" s="13">
        <v>34680.800000000003</v>
      </c>
      <c r="J202" s="13">
        <f t="shared" si="9"/>
        <v>43351</v>
      </c>
      <c r="K202" s="6"/>
    </row>
    <row r="203" spans="1:11" ht="24" x14ac:dyDescent="0.25">
      <c r="A203" s="3">
        <v>27</v>
      </c>
      <c r="B203" s="14" t="s">
        <v>39</v>
      </c>
      <c r="C203" s="15" t="str">
        <f>"149/15"</f>
        <v>149/15</v>
      </c>
      <c r="D203" s="15" t="str">
        <f t="shared" si="8"/>
        <v>FORSET</v>
      </c>
      <c r="E203" s="16">
        <v>42086</v>
      </c>
      <c r="F203" s="16">
        <v>42086</v>
      </c>
      <c r="G203" s="13">
        <v>1091.3800000000001</v>
      </c>
      <c r="H203" s="16">
        <v>42086</v>
      </c>
      <c r="I203" s="13">
        <v>1091.3800000000001</v>
      </c>
      <c r="J203" s="13">
        <f t="shared" si="9"/>
        <v>1364.2250000000001</v>
      </c>
      <c r="K203" s="6"/>
    </row>
    <row r="204" spans="1:11" ht="24" x14ac:dyDescent="0.25">
      <c r="A204" s="3">
        <v>28</v>
      </c>
      <c r="B204" s="14" t="s">
        <v>52</v>
      </c>
      <c r="C204" s="15" t="str">
        <f>"2/2014-DUSJN"</f>
        <v>2/2014-DUSJN</v>
      </c>
      <c r="D204" s="15" t="str">
        <f t="shared" si="8"/>
        <v>FORSET</v>
      </c>
      <c r="E204" s="16">
        <v>42052</v>
      </c>
      <c r="F204" s="16">
        <v>42278</v>
      </c>
      <c r="G204" s="13">
        <v>4866.72</v>
      </c>
      <c r="H204" s="16">
        <v>42278</v>
      </c>
      <c r="I204" s="13">
        <v>4866.72</v>
      </c>
      <c r="J204" s="13">
        <f t="shared" si="9"/>
        <v>6083.4000000000005</v>
      </c>
      <c r="K204" s="6"/>
    </row>
    <row r="205" spans="1:11" x14ac:dyDescent="0.25">
      <c r="A205" s="3">
        <v>29</v>
      </c>
      <c r="B205" s="14" t="s">
        <v>54</v>
      </c>
      <c r="C205" s="15" t="str">
        <f>"2/2014-107"</f>
        <v>2/2014-107</v>
      </c>
      <c r="D205" s="15" t="str">
        <f t="shared" si="8"/>
        <v>FORSET</v>
      </c>
      <c r="E205" s="16">
        <v>42016</v>
      </c>
      <c r="F205" s="16">
        <v>42381</v>
      </c>
      <c r="G205" s="13">
        <v>405.6</v>
      </c>
      <c r="H205" s="16">
        <v>42381</v>
      </c>
      <c r="I205" s="13">
        <v>283.52</v>
      </c>
      <c r="J205" s="13">
        <f t="shared" si="9"/>
        <v>354.4</v>
      </c>
      <c r="K205" s="6"/>
    </row>
    <row r="206" spans="1:11" ht="24" x14ac:dyDescent="0.25">
      <c r="A206" s="3">
        <v>30</v>
      </c>
      <c r="B206" s="14" t="s">
        <v>62</v>
      </c>
      <c r="C206" s="15" t="str">
        <f>"2/2014-75"</f>
        <v>2/2014-75</v>
      </c>
      <c r="D206" s="15" t="str">
        <f t="shared" si="8"/>
        <v>FORSET</v>
      </c>
      <c r="E206" s="16">
        <v>42003</v>
      </c>
      <c r="F206" s="16">
        <v>42369</v>
      </c>
      <c r="G206" s="13">
        <v>117866.82</v>
      </c>
      <c r="H206" s="16">
        <v>42369</v>
      </c>
      <c r="I206" s="13">
        <v>108163.63</v>
      </c>
      <c r="J206" s="13">
        <f t="shared" si="9"/>
        <v>135204.53750000001</v>
      </c>
      <c r="K206" s="6"/>
    </row>
    <row r="207" spans="1:11" x14ac:dyDescent="0.25">
      <c r="A207" s="3">
        <v>31</v>
      </c>
      <c r="B207" s="14" t="s">
        <v>53</v>
      </c>
      <c r="C207" s="15" t="str">
        <f>"2/2014-91"</f>
        <v>2/2014-91</v>
      </c>
      <c r="D207" s="15" t="str">
        <f t="shared" si="8"/>
        <v>FORSET</v>
      </c>
      <c r="E207" s="16">
        <v>42003</v>
      </c>
      <c r="F207" s="16">
        <v>42284</v>
      </c>
      <c r="G207" s="13">
        <v>137982.68</v>
      </c>
      <c r="H207" s="16">
        <v>42284</v>
      </c>
      <c r="I207" s="13">
        <v>79197.2</v>
      </c>
      <c r="J207" s="13">
        <f t="shared" si="9"/>
        <v>98996.5</v>
      </c>
      <c r="K207" s="6"/>
    </row>
    <row r="208" spans="1:11" ht="24" x14ac:dyDescent="0.25">
      <c r="A208" s="3">
        <v>32</v>
      </c>
      <c r="B208" s="14" t="s">
        <v>31</v>
      </c>
      <c r="C208" s="15" t="str">
        <f>"141/14"</f>
        <v>141/14</v>
      </c>
      <c r="D208" s="15" t="str">
        <f t="shared" si="8"/>
        <v>FORSET</v>
      </c>
      <c r="E208" s="16">
        <v>41997</v>
      </c>
      <c r="F208" s="16">
        <v>42369</v>
      </c>
      <c r="G208" s="13">
        <v>255672.98</v>
      </c>
      <c r="H208" s="16">
        <v>42369</v>
      </c>
      <c r="I208" s="13">
        <v>234293.3</v>
      </c>
      <c r="J208" s="13">
        <f t="shared" si="9"/>
        <v>292866.625</v>
      </c>
      <c r="K208" s="6"/>
    </row>
    <row r="209" spans="1:11" ht="24" x14ac:dyDescent="0.25">
      <c r="A209" s="3">
        <v>33</v>
      </c>
      <c r="B209" s="14" t="s">
        <v>82</v>
      </c>
      <c r="C209" s="15" t="str">
        <f>"NAR/2015-GRUPA 19"</f>
        <v>NAR/2015-GRUPA 19</v>
      </c>
      <c r="D209" s="15" t="str">
        <f t="shared" ref="D209:D226" si="10">CONCATENATE("FORSET")</f>
        <v>FORSET</v>
      </c>
      <c r="E209" s="16">
        <v>42005</v>
      </c>
      <c r="F209" s="16">
        <v>42369</v>
      </c>
      <c r="G209" s="13">
        <v>6583.28</v>
      </c>
      <c r="H209" s="16">
        <v>42369</v>
      </c>
      <c r="I209" s="13">
        <v>6583.2</v>
      </c>
      <c r="J209" s="13">
        <f t="shared" si="9"/>
        <v>8229</v>
      </c>
      <c r="K209" s="6"/>
    </row>
    <row r="210" spans="1:11" x14ac:dyDescent="0.25">
      <c r="A210" s="3">
        <v>34</v>
      </c>
      <c r="B210" s="14" t="s">
        <v>29</v>
      </c>
      <c r="C210" s="15" t="str">
        <f>"2/2014-71"</f>
        <v>2/2014-71</v>
      </c>
      <c r="D210" s="15" t="str">
        <f t="shared" si="10"/>
        <v>FORSET</v>
      </c>
      <c r="E210" s="16">
        <v>42003</v>
      </c>
      <c r="F210" s="16">
        <v>42284</v>
      </c>
      <c r="G210" s="13">
        <v>103042.6</v>
      </c>
      <c r="H210" s="16">
        <v>42284</v>
      </c>
      <c r="I210" s="13">
        <v>101134.02</v>
      </c>
      <c r="J210" s="13">
        <f t="shared" si="9"/>
        <v>126417.52500000001</v>
      </c>
      <c r="K210" s="6"/>
    </row>
    <row r="211" spans="1:11" ht="24" x14ac:dyDescent="0.25">
      <c r="A211" s="3">
        <v>35</v>
      </c>
      <c r="B211" s="14" t="s">
        <v>61</v>
      </c>
      <c r="C211" s="15" t="str">
        <f>"UGOVOR GRUPA 18-ZAGREB IV"</f>
        <v>UGOVOR GRUPA 18-ZAGREB IV</v>
      </c>
      <c r="D211" s="15" t="str">
        <f t="shared" si="10"/>
        <v>FORSET</v>
      </c>
      <c r="E211" s="16">
        <v>41991</v>
      </c>
      <c r="F211" s="16">
        <v>42284</v>
      </c>
      <c r="G211" s="13">
        <v>25040.959999999999</v>
      </c>
      <c r="H211" s="16">
        <v>42284</v>
      </c>
      <c r="I211" s="13">
        <v>21803.040000000001</v>
      </c>
      <c r="J211" s="13">
        <f t="shared" si="9"/>
        <v>27253.800000000003</v>
      </c>
      <c r="K211" s="6"/>
    </row>
    <row r="212" spans="1:11" ht="24" x14ac:dyDescent="0.25">
      <c r="A212" s="3">
        <v>36</v>
      </c>
      <c r="B212" s="14" t="s">
        <v>50</v>
      </c>
      <c r="C212" s="15" t="str">
        <f>"2/2014-73"</f>
        <v>2/2014-73</v>
      </c>
      <c r="D212" s="15" t="str">
        <f t="shared" si="10"/>
        <v>FORSET</v>
      </c>
      <c r="E212" s="16">
        <v>41991</v>
      </c>
      <c r="F212" s="16">
        <v>42369</v>
      </c>
      <c r="G212" s="13">
        <v>23094.04</v>
      </c>
      <c r="H212" s="16">
        <v>42369</v>
      </c>
      <c r="I212" s="13">
        <v>19595.759999999998</v>
      </c>
      <c r="J212" s="13">
        <f t="shared" si="9"/>
        <v>24494.699999999997</v>
      </c>
      <c r="K212" s="6"/>
    </row>
    <row r="213" spans="1:11" x14ac:dyDescent="0.25">
      <c r="A213" s="3">
        <v>37</v>
      </c>
      <c r="B213" s="14" t="s">
        <v>54</v>
      </c>
      <c r="C213" s="15" t="str">
        <f>"2/2014-60"</f>
        <v>2/2014-60</v>
      </c>
      <c r="D213" s="15" t="str">
        <f t="shared" si="10"/>
        <v>FORSET</v>
      </c>
      <c r="E213" s="16">
        <v>41976</v>
      </c>
      <c r="F213" s="16">
        <v>42353</v>
      </c>
      <c r="G213" s="13">
        <v>159954.39000000001</v>
      </c>
      <c r="H213" s="16">
        <v>42353</v>
      </c>
      <c r="I213" s="13">
        <v>133857.51</v>
      </c>
      <c r="J213" s="13">
        <f t="shared" si="9"/>
        <v>167321.88750000001</v>
      </c>
      <c r="K213" s="6"/>
    </row>
    <row r="214" spans="1:11" ht="24" x14ac:dyDescent="0.25">
      <c r="A214" s="3">
        <v>38</v>
      </c>
      <c r="B214" s="14" t="s">
        <v>55</v>
      </c>
      <c r="C214" s="15" t="str">
        <f>"71-55-14-1F-1"</f>
        <v>71-55-14-1F-1</v>
      </c>
      <c r="D214" s="15" t="str">
        <f t="shared" si="10"/>
        <v>FORSET</v>
      </c>
      <c r="E214" s="16">
        <v>41971</v>
      </c>
      <c r="F214" s="16">
        <v>42321</v>
      </c>
      <c r="G214" s="13">
        <v>203344</v>
      </c>
      <c r="H214" s="16">
        <v>42321</v>
      </c>
      <c r="I214" s="13">
        <v>198435.58</v>
      </c>
      <c r="J214" s="13">
        <f t="shared" si="9"/>
        <v>248044.47499999998</v>
      </c>
      <c r="K214" s="6"/>
    </row>
    <row r="215" spans="1:11" x14ac:dyDescent="0.25">
      <c r="A215" s="3">
        <v>39</v>
      </c>
      <c r="B215" s="14" t="s">
        <v>54</v>
      </c>
      <c r="C215" s="15" t="str">
        <f>"2/2014-34"</f>
        <v>2/2014-34</v>
      </c>
      <c r="D215" s="15" t="str">
        <f t="shared" si="10"/>
        <v>FORSET</v>
      </c>
      <c r="E215" s="16">
        <v>41957</v>
      </c>
      <c r="F215" s="16">
        <v>42339</v>
      </c>
      <c r="G215" s="13">
        <v>730.8</v>
      </c>
      <c r="H215" s="16">
        <v>42339</v>
      </c>
      <c r="I215" s="13">
        <v>668.62</v>
      </c>
      <c r="J215" s="13">
        <f t="shared" si="9"/>
        <v>835.77499999999998</v>
      </c>
      <c r="K215" s="6"/>
    </row>
    <row r="216" spans="1:11" ht="24" x14ac:dyDescent="0.25">
      <c r="A216" s="3">
        <v>40</v>
      </c>
      <c r="B216" s="14" t="s">
        <v>30</v>
      </c>
      <c r="C216" s="15" t="str">
        <f>"510-C-U-0034/14-21"</f>
        <v>510-C-U-0034/14-21</v>
      </c>
      <c r="D216" s="15" t="str">
        <f t="shared" si="10"/>
        <v>FORSET</v>
      </c>
      <c r="E216" s="16">
        <v>41971</v>
      </c>
      <c r="F216" s="16">
        <v>42284</v>
      </c>
      <c r="G216" s="13">
        <v>36091.32</v>
      </c>
      <c r="H216" s="16">
        <v>42284</v>
      </c>
      <c r="I216" s="13">
        <v>36091</v>
      </c>
      <c r="J216" s="13">
        <f t="shared" si="9"/>
        <v>45113.75</v>
      </c>
      <c r="K216" s="6"/>
    </row>
    <row r="217" spans="1:11" x14ac:dyDescent="0.25">
      <c r="A217" s="3">
        <v>41</v>
      </c>
      <c r="B217" s="14" t="s">
        <v>44</v>
      </c>
      <c r="C217" s="15" t="str">
        <f>"2/2014-90"</f>
        <v>2/2014-90</v>
      </c>
      <c r="D217" s="15" t="str">
        <f t="shared" si="10"/>
        <v>FORSET</v>
      </c>
      <c r="E217" s="16">
        <v>41968</v>
      </c>
      <c r="F217" s="16">
        <v>42339</v>
      </c>
      <c r="G217" s="13">
        <v>760063.63</v>
      </c>
      <c r="H217" s="16">
        <v>42339</v>
      </c>
      <c r="I217" s="13">
        <v>721245.79</v>
      </c>
      <c r="J217" s="13">
        <f t="shared" si="9"/>
        <v>901557.23750000005</v>
      </c>
      <c r="K217" s="6"/>
    </row>
    <row r="218" spans="1:11" x14ac:dyDescent="0.25">
      <c r="A218" s="3">
        <v>42</v>
      </c>
      <c r="B218" s="14" t="s">
        <v>41</v>
      </c>
      <c r="C218" s="15" t="str">
        <f>"4-DUSJN/14-I"</f>
        <v>4-DUSJN/14-I</v>
      </c>
      <c r="D218" s="15" t="str">
        <f t="shared" si="10"/>
        <v>FORSET</v>
      </c>
      <c r="E218" s="16">
        <v>41974</v>
      </c>
      <c r="F218" s="16">
        <v>42339</v>
      </c>
      <c r="G218" s="13">
        <v>205396.42</v>
      </c>
      <c r="H218" s="16">
        <v>42339</v>
      </c>
      <c r="I218" s="13">
        <v>175324.79999999999</v>
      </c>
      <c r="J218" s="13">
        <f t="shared" si="9"/>
        <v>219156</v>
      </c>
      <c r="K218" s="6"/>
    </row>
    <row r="219" spans="1:11" x14ac:dyDescent="0.25">
      <c r="A219" s="3">
        <v>43</v>
      </c>
      <c r="B219" s="14" t="s">
        <v>36</v>
      </c>
      <c r="C219" s="15" t="str">
        <f>"2/2014-57"</f>
        <v>2/2014-57</v>
      </c>
      <c r="D219" s="15" t="str">
        <f t="shared" si="10"/>
        <v>FORSET</v>
      </c>
      <c r="E219" s="16">
        <v>41971</v>
      </c>
      <c r="F219" s="16">
        <v>42284</v>
      </c>
      <c r="G219" s="13">
        <v>186392.89</v>
      </c>
      <c r="H219" s="16">
        <v>42284</v>
      </c>
      <c r="I219" s="13">
        <v>162664.70000000001</v>
      </c>
      <c r="J219" s="13">
        <f t="shared" si="9"/>
        <v>203330.875</v>
      </c>
      <c r="K219" s="6"/>
    </row>
    <row r="220" spans="1:11" ht="24" x14ac:dyDescent="0.25">
      <c r="A220" s="3">
        <v>44</v>
      </c>
      <c r="B220" s="14" t="s">
        <v>47</v>
      </c>
      <c r="C220" s="15" t="str">
        <f>"2/2014-92"</f>
        <v>2/2014-92</v>
      </c>
      <c r="D220" s="15" t="str">
        <f t="shared" si="10"/>
        <v>FORSET</v>
      </c>
      <c r="E220" s="16">
        <v>42002</v>
      </c>
      <c r="F220" s="16">
        <v>42325</v>
      </c>
      <c r="G220" s="13">
        <v>59407.6</v>
      </c>
      <c r="H220" s="16">
        <v>42325</v>
      </c>
      <c r="I220" s="13">
        <v>55168.86</v>
      </c>
      <c r="J220" s="13">
        <f t="shared" si="9"/>
        <v>68961.074999999997</v>
      </c>
      <c r="K220" s="6"/>
    </row>
    <row r="221" spans="1:11" x14ac:dyDescent="0.25">
      <c r="A221" s="3">
        <v>45</v>
      </c>
      <c r="B221" s="14" t="s">
        <v>35</v>
      </c>
      <c r="C221" s="15" t="str">
        <f>"293/2014"</f>
        <v>293/2014</v>
      </c>
      <c r="D221" s="15" t="str">
        <f t="shared" si="10"/>
        <v>FORSET</v>
      </c>
      <c r="E221" s="16">
        <v>41946</v>
      </c>
      <c r="F221" s="16">
        <v>42317</v>
      </c>
      <c r="G221" s="13">
        <v>149758.29999999999</v>
      </c>
      <c r="H221" s="16">
        <v>42317</v>
      </c>
      <c r="I221" s="13">
        <v>130976.46</v>
      </c>
      <c r="J221" s="13">
        <f t="shared" si="9"/>
        <v>163720.57500000001</v>
      </c>
      <c r="K221" s="6"/>
    </row>
    <row r="222" spans="1:11" x14ac:dyDescent="0.25">
      <c r="A222" s="3">
        <v>46</v>
      </c>
      <c r="B222" s="14" t="s">
        <v>26</v>
      </c>
      <c r="C222" s="15" t="str">
        <f>"2/2014-10"</f>
        <v>2/2014-10</v>
      </c>
      <c r="D222" s="15" t="str">
        <f t="shared" si="10"/>
        <v>FORSET</v>
      </c>
      <c r="E222" s="16">
        <v>41947</v>
      </c>
      <c r="F222" s="16">
        <v>42311</v>
      </c>
      <c r="G222" s="13">
        <v>36739.199999999997</v>
      </c>
      <c r="H222" s="16">
        <v>42311</v>
      </c>
      <c r="I222" s="13">
        <v>30901.599999999999</v>
      </c>
      <c r="J222" s="13">
        <f t="shared" si="9"/>
        <v>38627</v>
      </c>
      <c r="K222" s="6"/>
    </row>
    <row r="223" spans="1:11" x14ac:dyDescent="0.25">
      <c r="A223" s="3">
        <v>47</v>
      </c>
      <c r="B223" s="14" t="s">
        <v>51</v>
      </c>
      <c r="C223" s="15" t="str">
        <f>"2/2014-127"</f>
        <v>2/2014-127</v>
      </c>
      <c r="D223" s="15" t="str">
        <f t="shared" si="10"/>
        <v>FORSET</v>
      </c>
      <c r="E223" s="16">
        <v>41946</v>
      </c>
      <c r="F223" s="16">
        <v>42309</v>
      </c>
      <c r="G223" s="13">
        <v>658898.28</v>
      </c>
      <c r="H223" s="16">
        <v>42309</v>
      </c>
      <c r="I223" s="13">
        <v>697884.6</v>
      </c>
      <c r="J223" s="13">
        <f t="shared" si="9"/>
        <v>872355.75</v>
      </c>
      <c r="K223" s="6"/>
    </row>
    <row r="224" spans="1:11" x14ac:dyDescent="0.25">
      <c r="A224" s="3">
        <v>48</v>
      </c>
      <c r="B224" s="14" t="s">
        <v>33</v>
      </c>
      <c r="C224" s="15" t="str">
        <f>"2/2014-09"</f>
        <v>2/2014-09</v>
      </c>
      <c r="D224" s="15" t="str">
        <f t="shared" si="10"/>
        <v>FORSET</v>
      </c>
      <c r="E224" s="16">
        <v>41944</v>
      </c>
      <c r="F224" s="16">
        <v>42283</v>
      </c>
      <c r="G224" s="13">
        <v>77346.960000000006</v>
      </c>
      <c r="H224" s="16">
        <v>42283</v>
      </c>
      <c r="I224" s="13">
        <v>174148.19</v>
      </c>
      <c r="J224" s="13">
        <f t="shared" si="9"/>
        <v>217685.23749999999</v>
      </c>
      <c r="K224" s="6"/>
    </row>
    <row r="225" spans="1:11" ht="24" x14ac:dyDescent="0.25">
      <c r="A225" s="3">
        <v>49</v>
      </c>
      <c r="B225" s="14" t="s">
        <v>83</v>
      </c>
      <c r="C225" s="15" t="str">
        <f>"2/2014-05"</f>
        <v>2/2014-05</v>
      </c>
      <c r="D225" s="15" t="str">
        <f t="shared" si="10"/>
        <v>FORSET</v>
      </c>
      <c r="E225" s="16">
        <v>41944</v>
      </c>
      <c r="F225" s="16">
        <v>42283</v>
      </c>
      <c r="G225" s="13">
        <v>12014.02</v>
      </c>
      <c r="H225" s="16">
        <v>42283</v>
      </c>
      <c r="I225" s="13">
        <v>11943.1</v>
      </c>
      <c r="J225" s="13">
        <f t="shared" si="9"/>
        <v>14928.875</v>
      </c>
      <c r="K225" s="6"/>
    </row>
    <row r="226" spans="1:11" ht="24" x14ac:dyDescent="0.25">
      <c r="A226" s="3">
        <v>50</v>
      </c>
      <c r="B226" s="14" t="s">
        <v>58</v>
      </c>
      <c r="C226" s="15" t="str">
        <f>"4500009399"</f>
        <v>4500009399</v>
      </c>
      <c r="D226" s="15" t="str">
        <f t="shared" si="10"/>
        <v>FORSET</v>
      </c>
      <c r="E226" s="16">
        <v>41695</v>
      </c>
      <c r="F226" s="16">
        <v>42094</v>
      </c>
      <c r="G226" s="13">
        <v>3466</v>
      </c>
      <c r="H226" s="16">
        <v>42094</v>
      </c>
      <c r="I226" s="13">
        <v>3466</v>
      </c>
      <c r="J226" s="13">
        <f t="shared" si="9"/>
        <v>4332.5</v>
      </c>
      <c r="K226" s="6"/>
    </row>
    <row r="227" spans="1:11" ht="7.5" customHeight="1" x14ac:dyDescent="0.25"/>
    <row r="228" spans="1:11" ht="42" customHeight="1" x14ac:dyDescent="0.25">
      <c r="A228" s="1" t="s">
        <v>0</v>
      </c>
      <c r="B228" s="2" t="s">
        <v>1</v>
      </c>
      <c r="C228" s="2" t="s">
        <v>6</v>
      </c>
      <c r="D228" s="2" t="s">
        <v>2</v>
      </c>
      <c r="E228" s="2" t="s">
        <v>3</v>
      </c>
      <c r="F228" s="2" t="s">
        <v>7</v>
      </c>
      <c r="G228" s="2" t="s">
        <v>8</v>
      </c>
      <c r="H228" s="2" t="s">
        <v>4</v>
      </c>
      <c r="I228" s="2" t="s">
        <v>5</v>
      </c>
    </row>
    <row r="229" spans="1:11" x14ac:dyDescent="0.25">
      <c r="A229" s="3">
        <v>1</v>
      </c>
      <c r="B229" s="6" t="s">
        <v>76</v>
      </c>
      <c r="C229" s="3" t="s">
        <v>84</v>
      </c>
      <c r="D229" s="3" t="s">
        <v>685</v>
      </c>
      <c r="E229" s="3" t="s">
        <v>24</v>
      </c>
      <c r="F229" s="21">
        <v>42299</v>
      </c>
      <c r="G229" s="3" t="s">
        <v>659</v>
      </c>
      <c r="H229" s="13">
        <v>23900000</v>
      </c>
      <c r="I229" s="13">
        <v>10920576.08</v>
      </c>
    </row>
    <row r="230" spans="1:11" x14ac:dyDescent="0.25">
      <c r="A230" s="42" t="s">
        <v>706</v>
      </c>
      <c r="B230" s="43"/>
      <c r="C230" s="43"/>
      <c r="D230" s="43"/>
      <c r="E230" s="43"/>
      <c r="F230" s="43"/>
      <c r="G230" s="43"/>
      <c r="H230" s="44"/>
      <c r="I230" s="13">
        <v>97154.45</v>
      </c>
    </row>
    <row r="231" spans="1:11" ht="7.5" customHeight="1" x14ac:dyDescent="0.25"/>
    <row r="232" spans="1:11" x14ac:dyDescent="0.25">
      <c r="A232" s="46" t="s">
        <v>20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 ht="63.75" customHeight="1" x14ac:dyDescent="0.25">
      <c r="A233" s="4" t="s">
        <v>0</v>
      </c>
      <c r="B233" s="5" t="s">
        <v>10</v>
      </c>
      <c r="C233" s="5" t="s">
        <v>9</v>
      </c>
      <c r="D233" s="5" t="s">
        <v>13</v>
      </c>
      <c r="E233" s="5" t="s">
        <v>12</v>
      </c>
      <c r="F233" s="5" t="s">
        <v>11</v>
      </c>
      <c r="G233" s="5" t="s">
        <v>18</v>
      </c>
      <c r="H233" s="5" t="s">
        <v>14</v>
      </c>
      <c r="I233" s="5" t="s">
        <v>15</v>
      </c>
      <c r="J233" s="5" t="s">
        <v>16</v>
      </c>
      <c r="K233" s="5" t="s">
        <v>17</v>
      </c>
    </row>
    <row r="234" spans="1:11" x14ac:dyDescent="0.25">
      <c r="A234" s="3">
        <v>1</v>
      </c>
      <c r="B234" s="14" t="s">
        <v>49</v>
      </c>
      <c r="C234" s="15" t="str">
        <f>"966/2015"</f>
        <v>966/2015</v>
      </c>
      <c r="D234" s="15" t="str">
        <f t="shared" ref="D234:D265" si="11">CONCATENATE("ADRIATIC SERVIS")</f>
        <v>ADRIATIC SERVIS</v>
      </c>
      <c r="E234" s="16">
        <v>42278</v>
      </c>
      <c r="F234" s="16"/>
      <c r="G234" s="13">
        <v>93.6</v>
      </c>
      <c r="H234" s="16"/>
      <c r="I234" s="13">
        <v>93.6</v>
      </c>
      <c r="J234" s="13">
        <f>I234*1.25</f>
        <v>117</v>
      </c>
      <c r="K234" s="6"/>
    </row>
    <row r="235" spans="1:11" x14ac:dyDescent="0.25">
      <c r="A235" s="3">
        <v>2</v>
      </c>
      <c r="B235" s="14" t="s">
        <v>49</v>
      </c>
      <c r="C235" s="15" t="str">
        <f>"642/2015"</f>
        <v>642/2015</v>
      </c>
      <c r="D235" s="15" t="str">
        <f t="shared" si="11"/>
        <v>ADRIATIC SERVIS</v>
      </c>
      <c r="E235" s="16">
        <v>42172</v>
      </c>
      <c r="F235" s="16"/>
      <c r="G235" s="13">
        <v>402.48</v>
      </c>
      <c r="H235" s="16"/>
      <c r="I235" s="13">
        <v>402.48</v>
      </c>
      <c r="J235" s="13">
        <f t="shared" ref="J235:J284" si="12">I235*1.25</f>
        <v>503.1</v>
      </c>
      <c r="K235" s="6"/>
    </row>
    <row r="236" spans="1:11" ht="24" x14ac:dyDescent="0.25">
      <c r="A236" s="3">
        <v>3</v>
      </c>
      <c r="B236" s="14" t="s">
        <v>31</v>
      </c>
      <c r="C236" s="15" t="str">
        <f>"U151/15"</f>
        <v>U151/15</v>
      </c>
      <c r="D236" s="15" t="str">
        <f t="shared" si="11"/>
        <v>ADRIATIC SERVIS</v>
      </c>
      <c r="E236" s="16">
        <v>42361</v>
      </c>
      <c r="F236" s="16"/>
      <c r="G236" s="13">
        <v>6572.76</v>
      </c>
      <c r="H236" s="16"/>
      <c r="I236" s="13">
        <v>0</v>
      </c>
      <c r="J236" s="13">
        <f t="shared" si="12"/>
        <v>0</v>
      </c>
      <c r="K236" s="6"/>
    </row>
    <row r="237" spans="1:11" ht="24" x14ac:dyDescent="0.25">
      <c r="A237" s="3">
        <v>4</v>
      </c>
      <c r="B237" s="14" t="s">
        <v>31</v>
      </c>
      <c r="C237" s="15" t="str">
        <f>"U153/15"</f>
        <v>U153/15</v>
      </c>
      <c r="D237" s="15" t="str">
        <f t="shared" si="11"/>
        <v>ADRIATIC SERVIS</v>
      </c>
      <c r="E237" s="16">
        <v>42361</v>
      </c>
      <c r="F237" s="16"/>
      <c r="G237" s="13">
        <v>17449.330000000002</v>
      </c>
      <c r="H237" s="16"/>
      <c r="I237" s="13">
        <v>0</v>
      </c>
      <c r="J237" s="13">
        <f t="shared" si="12"/>
        <v>0</v>
      </c>
      <c r="K237" s="6"/>
    </row>
    <row r="238" spans="1:11" ht="24" x14ac:dyDescent="0.25">
      <c r="A238" s="3">
        <v>5</v>
      </c>
      <c r="B238" s="14" t="s">
        <v>31</v>
      </c>
      <c r="C238" s="15" t="str">
        <f>"U152/15"</f>
        <v>U152/15</v>
      </c>
      <c r="D238" s="15" t="str">
        <f t="shared" si="11"/>
        <v>ADRIATIC SERVIS</v>
      </c>
      <c r="E238" s="16">
        <v>42361</v>
      </c>
      <c r="F238" s="16"/>
      <c r="G238" s="13">
        <v>5631.6</v>
      </c>
      <c r="H238" s="16"/>
      <c r="I238" s="13">
        <v>0</v>
      </c>
      <c r="J238" s="13">
        <f t="shared" si="12"/>
        <v>0</v>
      </c>
      <c r="K238" s="6"/>
    </row>
    <row r="239" spans="1:11" x14ac:dyDescent="0.25">
      <c r="A239" s="3">
        <v>6</v>
      </c>
      <c r="B239" s="14" t="s">
        <v>49</v>
      </c>
      <c r="C239" s="15" t="str">
        <f>"641/2015"</f>
        <v>641/2015</v>
      </c>
      <c r="D239" s="15" t="str">
        <f t="shared" si="11"/>
        <v>ADRIATIC SERVIS</v>
      </c>
      <c r="E239" s="16">
        <v>42172</v>
      </c>
      <c r="F239" s="16"/>
      <c r="G239" s="13">
        <v>687.96</v>
      </c>
      <c r="H239" s="16"/>
      <c r="I239" s="13">
        <v>687.96</v>
      </c>
      <c r="J239" s="13">
        <f t="shared" si="12"/>
        <v>859.95</v>
      </c>
      <c r="K239" s="6"/>
    </row>
    <row r="240" spans="1:11" x14ac:dyDescent="0.25">
      <c r="A240" s="3">
        <v>7</v>
      </c>
      <c r="B240" s="14" t="s">
        <v>49</v>
      </c>
      <c r="C240" s="15" t="str">
        <f>"1089/2015"</f>
        <v>1089/2015</v>
      </c>
      <c r="D240" s="15" t="str">
        <f t="shared" si="11"/>
        <v>ADRIATIC SERVIS</v>
      </c>
      <c r="E240" s="16">
        <v>42305</v>
      </c>
      <c r="F240" s="16"/>
      <c r="G240" s="13">
        <v>277.89999999999998</v>
      </c>
      <c r="H240" s="16"/>
      <c r="I240" s="13">
        <v>277.89999999999998</v>
      </c>
      <c r="J240" s="13">
        <f t="shared" si="12"/>
        <v>347.375</v>
      </c>
      <c r="K240" s="6"/>
    </row>
    <row r="241" spans="1:11" x14ac:dyDescent="0.25">
      <c r="A241" s="3">
        <v>8</v>
      </c>
      <c r="B241" s="14" t="s">
        <v>49</v>
      </c>
      <c r="C241" s="15" t="str">
        <f>"324/2015"</f>
        <v>324/2015</v>
      </c>
      <c r="D241" s="15" t="str">
        <f t="shared" si="11"/>
        <v>ADRIATIC SERVIS</v>
      </c>
      <c r="E241" s="16">
        <v>42093</v>
      </c>
      <c r="F241" s="16"/>
      <c r="G241" s="13">
        <v>642.09</v>
      </c>
      <c r="H241" s="16"/>
      <c r="I241" s="13">
        <v>642.09</v>
      </c>
      <c r="J241" s="13">
        <f t="shared" si="12"/>
        <v>802.61250000000007</v>
      </c>
      <c r="K241" s="6"/>
    </row>
    <row r="242" spans="1:11" x14ac:dyDescent="0.25">
      <c r="A242" s="3">
        <v>9</v>
      </c>
      <c r="B242" s="14" t="s">
        <v>49</v>
      </c>
      <c r="C242" s="15" t="str">
        <f>"321/2015"</f>
        <v>321/2015</v>
      </c>
      <c r="D242" s="15" t="str">
        <f t="shared" si="11"/>
        <v>ADRIATIC SERVIS</v>
      </c>
      <c r="E242" s="16">
        <v>42093</v>
      </c>
      <c r="F242" s="16"/>
      <c r="G242" s="13">
        <v>355.68</v>
      </c>
      <c r="H242" s="16"/>
      <c r="I242" s="13">
        <v>355.68</v>
      </c>
      <c r="J242" s="13">
        <f t="shared" si="12"/>
        <v>444.6</v>
      </c>
      <c r="K242" s="6"/>
    </row>
    <row r="243" spans="1:11" ht="24" x14ac:dyDescent="0.25">
      <c r="A243" s="3">
        <v>10</v>
      </c>
      <c r="B243" s="14" t="s">
        <v>32</v>
      </c>
      <c r="C243" s="15" t="str">
        <f>"DHMZ-2G2-2015"</f>
        <v>DHMZ-2G2-2015</v>
      </c>
      <c r="D243" s="15" t="str">
        <f t="shared" si="11"/>
        <v>ADRIATIC SERVIS</v>
      </c>
      <c r="E243" s="16">
        <v>42304</v>
      </c>
      <c r="F243" s="16"/>
      <c r="G243" s="13">
        <v>30000</v>
      </c>
      <c r="H243" s="16"/>
      <c r="I243" s="13">
        <v>1812.8</v>
      </c>
      <c r="J243" s="13">
        <f t="shared" si="12"/>
        <v>2266</v>
      </c>
      <c r="K243" s="6"/>
    </row>
    <row r="244" spans="1:11" ht="24" x14ac:dyDescent="0.25">
      <c r="A244" s="3">
        <v>11</v>
      </c>
      <c r="B244" s="14" t="s">
        <v>31</v>
      </c>
      <c r="C244" s="15" t="str">
        <f>"U154/15"</f>
        <v>U154/15</v>
      </c>
      <c r="D244" s="15" t="str">
        <f t="shared" si="11"/>
        <v>ADRIATIC SERVIS</v>
      </c>
      <c r="E244" s="16">
        <v>42361</v>
      </c>
      <c r="F244" s="16"/>
      <c r="G244" s="13">
        <v>6791.68</v>
      </c>
      <c r="H244" s="16"/>
      <c r="I244" s="13">
        <v>0</v>
      </c>
      <c r="J244" s="13">
        <f t="shared" si="12"/>
        <v>0</v>
      </c>
      <c r="K244" s="6"/>
    </row>
    <row r="245" spans="1:11" x14ac:dyDescent="0.25">
      <c r="A245" s="3">
        <v>12</v>
      </c>
      <c r="B245" s="14" t="s">
        <v>49</v>
      </c>
      <c r="C245" s="15" t="str">
        <f>"961/2015"</f>
        <v>961/2015</v>
      </c>
      <c r="D245" s="15" t="str">
        <f t="shared" si="11"/>
        <v>ADRIATIC SERVIS</v>
      </c>
      <c r="E245" s="16">
        <v>42277</v>
      </c>
      <c r="F245" s="16"/>
      <c r="G245" s="13">
        <v>137.59</v>
      </c>
      <c r="H245" s="16"/>
      <c r="I245" s="13">
        <v>137.59</v>
      </c>
      <c r="J245" s="13">
        <f t="shared" si="12"/>
        <v>171.98750000000001</v>
      </c>
      <c r="K245" s="6"/>
    </row>
    <row r="246" spans="1:11" x14ac:dyDescent="0.25">
      <c r="A246" s="3">
        <v>13</v>
      </c>
      <c r="B246" s="14" t="s">
        <v>49</v>
      </c>
      <c r="C246" s="15" t="str">
        <f>"1092/2015"</f>
        <v>1092/2015</v>
      </c>
      <c r="D246" s="15" t="str">
        <f t="shared" si="11"/>
        <v>ADRIATIC SERVIS</v>
      </c>
      <c r="E246" s="16">
        <v>42305</v>
      </c>
      <c r="F246" s="16"/>
      <c r="G246" s="13">
        <v>535.6</v>
      </c>
      <c r="H246" s="16"/>
      <c r="I246" s="13">
        <v>535.6</v>
      </c>
      <c r="J246" s="13">
        <f t="shared" si="12"/>
        <v>669.5</v>
      </c>
      <c r="K246" s="6"/>
    </row>
    <row r="247" spans="1:11" x14ac:dyDescent="0.25">
      <c r="A247" s="3">
        <v>14</v>
      </c>
      <c r="B247" s="14" t="s">
        <v>49</v>
      </c>
      <c r="C247" s="15" t="str">
        <f>"1090/2015"</f>
        <v>1090/2015</v>
      </c>
      <c r="D247" s="15" t="str">
        <f t="shared" si="11"/>
        <v>ADRIATIC SERVIS</v>
      </c>
      <c r="E247" s="16">
        <v>42305</v>
      </c>
      <c r="F247" s="16"/>
      <c r="G247" s="13">
        <v>166.46</v>
      </c>
      <c r="H247" s="16"/>
      <c r="I247" s="13">
        <v>166.46</v>
      </c>
      <c r="J247" s="13">
        <f t="shared" si="12"/>
        <v>208.07500000000002</v>
      </c>
      <c r="K247" s="6"/>
    </row>
    <row r="248" spans="1:11" x14ac:dyDescent="0.25">
      <c r="A248" s="3">
        <v>15</v>
      </c>
      <c r="B248" s="14" t="s">
        <v>49</v>
      </c>
      <c r="C248" s="15" t="str">
        <f>"1091/2015"</f>
        <v>1091/2015</v>
      </c>
      <c r="D248" s="15" t="str">
        <f t="shared" si="11"/>
        <v>ADRIATIC SERVIS</v>
      </c>
      <c r="E248" s="16">
        <v>42305</v>
      </c>
      <c r="F248" s="16"/>
      <c r="G248" s="13">
        <v>176.4</v>
      </c>
      <c r="H248" s="16"/>
      <c r="I248" s="13">
        <v>176.4</v>
      </c>
      <c r="J248" s="13">
        <f t="shared" si="12"/>
        <v>220.5</v>
      </c>
      <c r="K248" s="6"/>
    </row>
    <row r="249" spans="1:11" ht="24" x14ac:dyDescent="0.25">
      <c r="A249" s="3">
        <v>16</v>
      </c>
      <c r="B249" s="14" t="s">
        <v>31</v>
      </c>
      <c r="C249" s="15" t="str">
        <f>"U150/15"</f>
        <v>U150/15</v>
      </c>
      <c r="D249" s="15" t="str">
        <f t="shared" si="11"/>
        <v>ADRIATIC SERVIS</v>
      </c>
      <c r="E249" s="16">
        <v>42361</v>
      </c>
      <c r="F249" s="16"/>
      <c r="G249" s="13">
        <v>9339.64</v>
      </c>
      <c r="H249" s="16"/>
      <c r="I249" s="13">
        <v>0</v>
      </c>
      <c r="J249" s="13">
        <f t="shared" si="12"/>
        <v>0</v>
      </c>
      <c r="K249" s="6"/>
    </row>
    <row r="250" spans="1:11" ht="24" x14ac:dyDescent="0.25">
      <c r="A250" s="3">
        <v>17</v>
      </c>
      <c r="B250" s="14" t="s">
        <v>31</v>
      </c>
      <c r="C250" s="15" t="str">
        <f>"U149/15"</f>
        <v>U149/15</v>
      </c>
      <c r="D250" s="15" t="str">
        <f t="shared" si="11"/>
        <v>ADRIATIC SERVIS</v>
      </c>
      <c r="E250" s="16">
        <v>42361</v>
      </c>
      <c r="F250" s="16"/>
      <c r="G250" s="13">
        <v>7870.08</v>
      </c>
      <c r="H250" s="16"/>
      <c r="I250" s="13">
        <v>0</v>
      </c>
      <c r="J250" s="13">
        <f t="shared" si="12"/>
        <v>0</v>
      </c>
      <c r="K250" s="6"/>
    </row>
    <row r="251" spans="1:11" ht="24" x14ac:dyDescent="0.25">
      <c r="A251" s="3">
        <v>18</v>
      </c>
      <c r="B251" s="14" t="s">
        <v>31</v>
      </c>
      <c r="C251" s="15" t="str">
        <f>"U148/15"</f>
        <v>U148/15</v>
      </c>
      <c r="D251" s="15" t="str">
        <f t="shared" si="11"/>
        <v>ADRIATIC SERVIS</v>
      </c>
      <c r="E251" s="16">
        <v>42361</v>
      </c>
      <c r="F251" s="16"/>
      <c r="G251" s="13">
        <v>5293.68</v>
      </c>
      <c r="H251" s="16"/>
      <c r="I251" s="13">
        <v>0</v>
      </c>
      <c r="J251" s="13">
        <f t="shared" si="12"/>
        <v>0</v>
      </c>
      <c r="K251" s="6"/>
    </row>
    <row r="252" spans="1:11" ht="24" x14ac:dyDescent="0.25">
      <c r="A252" s="3">
        <v>19</v>
      </c>
      <c r="B252" s="14" t="s">
        <v>31</v>
      </c>
      <c r="C252" s="15" t="str">
        <f>"U147/15"</f>
        <v>U147/15</v>
      </c>
      <c r="D252" s="15" t="str">
        <f t="shared" si="11"/>
        <v>ADRIATIC SERVIS</v>
      </c>
      <c r="E252" s="16">
        <v>42361</v>
      </c>
      <c r="F252" s="16"/>
      <c r="G252" s="13">
        <v>7205.82</v>
      </c>
      <c r="H252" s="16"/>
      <c r="I252" s="13">
        <v>0</v>
      </c>
      <c r="J252" s="13">
        <f t="shared" si="12"/>
        <v>0</v>
      </c>
      <c r="K252" s="6"/>
    </row>
    <row r="253" spans="1:11" ht="24" x14ac:dyDescent="0.25">
      <c r="A253" s="3">
        <v>20</v>
      </c>
      <c r="B253" s="14" t="s">
        <v>31</v>
      </c>
      <c r="C253" s="15" t="str">
        <f>"U146/15"</f>
        <v>U146/15</v>
      </c>
      <c r="D253" s="15" t="str">
        <f t="shared" si="11"/>
        <v>ADRIATIC SERVIS</v>
      </c>
      <c r="E253" s="16">
        <v>42361</v>
      </c>
      <c r="F253" s="16"/>
      <c r="G253" s="13">
        <v>12351.77</v>
      </c>
      <c r="H253" s="16"/>
      <c r="I253" s="13">
        <v>0</v>
      </c>
      <c r="J253" s="13">
        <f t="shared" si="12"/>
        <v>0</v>
      </c>
      <c r="K253" s="6"/>
    </row>
    <row r="254" spans="1:11" ht="24" x14ac:dyDescent="0.25">
      <c r="A254" s="3">
        <v>21</v>
      </c>
      <c r="B254" s="14" t="s">
        <v>31</v>
      </c>
      <c r="C254" s="15" t="str">
        <f>"U142/15"</f>
        <v>U142/15</v>
      </c>
      <c r="D254" s="15" t="str">
        <f t="shared" si="11"/>
        <v>ADRIATIC SERVIS</v>
      </c>
      <c r="E254" s="16">
        <v>42361</v>
      </c>
      <c r="F254" s="16"/>
      <c r="G254" s="13">
        <v>82398.55</v>
      </c>
      <c r="H254" s="16"/>
      <c r="I254" s="13">
        <v>0</v>
      </c>
      <c r="J254" s="13">
        <f t="shared" si="12"/>
        <v>0</v>
      </c>
      <c r="K254" s="6"/>
    </row>
    <row r="255" spans="1:11" ht="24" x14ac:dyDescent="0.25">
      <c r="A255" s="3">
        <v>22</v>
      </c>
      <c r="B255" s="14" t="s">
        <v>31</v>
      </c>
      <c r="C255" s="15" t="str">
        <f>"U141/15"</f>
        <v>U141/15</v>
      </c>
      <c r="D255" s="15" t="str">
        <f t="shared" si="11"/>
        <v>ADRIATIC SERVIS</v>
      </c>
      <c r="E255" s="16">
        <v>42361</v>
      </c>
      <c r="F255" s="16"/>
      <c r="G255" s="13">
        <v>30455.8</v>
      </c>
      <c r="H255" s="16"/>
      <c r="I255" s="13">
        <v>0</v>
      </c>
      <c r="J255" s="13">
        <f t="shared" si="12"/>
        <v>0</v>
      </c>
      <c r="K255" s="6"/>
    </row>
    <row r="256" spans="1:11" x14ac:dyDescent="0.25">
      <c r="A256" s="3">
        <v>23</v>
      </c>
      <c r="B256" s="14" t="s">
        <v>44</v>
      </c>
      <c r="C256" s="15" t="str">
        <f>"7/2015-21/6"</f>
        <v>7/2015-21/6</v>
      </c>
      <c r="D256" s="15" t="str">
        <f t="shared" si="11"/>
        <v>ADRIATIC SERVIS</v>
      </c>
      <c r="E256" s="16">
        <v>42341</v>
      </c>
      <c r="F256" s="16">
        <v>42705</v>
      </c>
      <c r="G256" s="13">
        <v>237933.76</v>
      </c>
      <c r="H256" s="16">
        <v>42705</v>
      </c>
      <c r="I256" s="13">
        <v>0</v>
      </c>
      <c r="J256" s="13">
        <f t="shared" si="12"/>
        <v>0</v>
      </c>
      <c r="K256" s="6"/>
    </row>
    <row r="257" spans="1:11" x14ac:dyDescent="0.25">
      <c r="A257" s="3">
        <v>24</v>
      </c>
      <c r="B257" s="14" t="s">
        <v>44</v>
      </c>
      <c r="C257" s="15" t="str">
        <f>"7/2015-21/16"</f>
        <v>7/2015-21/16</v>
      </c>
      <c r="D257" s="15" t="str">
        <f t="shared" si="11"/>
        <v>ADRIATIC SERVIS</v>
      </c>
      <c r="E257" s="16">
        <v>42341</v>
      </c>
      <c r="F257" s="16">
        <v>42705</v>
      </c>
      <c r="G257" s="13">
        <v>1295788.81</v>
      </c>
      <c r="H257" s="16">
        <v>42705</v>
      </c>
      <c r="I257" s="13">
        <v>0</v>
      </c>
      <c r="J257" s="13">
        <f t="shared" si="12"/>
        <v>0</v>
      </c>
      <c r="K257" s="6"/>
    </row>
    <row r="258" spans="1:11" x14ac:dyDescent="0.25">
      <c r="A258" s="3">
        <v>25</v>
      </c>
      <c r="B258" s="14" t="s">
        <v>44</v>
      </c>
      <c r="C258" s="15" t="str">
        <f>"7/2015-21/5"</f>
        <v>7/2015-21/5</v>
      </c>
      <c r="D258" s="15" t="str">
        <f t="shared" si="11"/>
        <v>ADRIATIC SERVIS</v>
      </c>
      <c r="E258" s="16">
        <v>42341</v>
      </c>
      <c r="F258" s="16">
        <v>42705</v>
      </c>
      <c r="G258" s="13">
        <v>210419.77</v>
      </c>
      <c r="H258" s="16">
        <v>42705</v>
      </c>
      <c r="I258" s="13">
        <v>0</v>
      </c>
      <c r="J258" s="13">
        <f t="shared" si="12"/>
        <v>0</v>
      </c>
      <c r="K258" s="6"/>
    </row>
    <row r="259" spans="1:11" x14ac:dyDescent="0.25">
      <c r="A259" s="3">
        <v>26</v>
      </c>
      <c r="B259" s="14" t="s">
        <v>54</v>
      </c>
      <c r="C259" s="15" t="str">
        <f>"7/2015-16"</f>
        <v>7/2015-16</v>
      </c>
      <c r="D259" s="15" t="str">
        <f t="shared" si="11"/>
        <v>ADRIATIC SERVIS</v>
      </c>
      <c r="E259" s="16">
        <v>42324</v>
      </c>
      <c r="F259" s="16">
        <v>42460</v>
      </c>
      <c r="G259" s="13">
        <v>9756.66</v>
      </c>
      <c r="H259" s="16">
        <v>42460</v>
      </c>
      <c r="I259" s="13">
        <v>0</v>
      </c>
      <c r="J259" s="13">
        <f t="shared" si="12"/>
        <v>0</v>
      </c>
      <c r="K259" s="6"/>
    </row>
    <row r="260" spans="1:11" x14ac:dyDescent="0.25">
      <c r="A260" s="3">
        <v>27</v>
      </c>
      <c r="B260" s="14" t="s">
        <v>44</v>
      </c>
      <c r="C260" s="15" t="str">
        <f>"7/2015-21/7"</f>
        <v>7/2015-21/7</v>
      </c>
      <c r="D260" s="15" t="str">
        <f t="shared" si="11"/>
        <v>ADRIATIC SERVIS</v>
      </c>
      <c r="E260" s="16">
        <v>42341</v>
      </c>
      <c r="F260" s="16">
        <v>42705</v>
      </c>
      <c r="G260" s="13">
        <v>68941.58</v>
      </c>
      <c r="H260" s="16">
        <v>42705</v>
      </c>
      <c r="I260" s="13">
        <v>0</v>
      </c>
      <c r="J260" s="13">
        <f t="shared" si="12"/>
        <v>0</v>
      </c>
      <c r="K260" s="6"/>
    </row>
    <row r="261" spans="1:11" x14ac:dyDescent="0.25">
      <c r="A261" s="3">
        <v>28</v>
      </c>
      <c r="B261" s="14" t="s">
        <v>44</v>
      </c>
      <c r="C261" s="15" t="str">
        <f>"7/2015-21/1"</f>
        <v>7/2015-21/1</v>
      </c>
      <c r="D261" s="15" t="str">
        <f t="shared" si="11"/>
        <v>ADRIATIC SERVIS</v>
      </c>
      <c r="E261" s="16">
        <v>42341</v>
      </c>
      <c r="F261" s="16">
        <v>42705</v>
      </c>
      <c r="G261" s="13">
        <v>136427</v>
      </c>
      <c r="H261" s="16">
        <v>42705</v>
      </c>
      <c r="I261" s="13">
        <v>0</v>
      </c>
      <c r="J261" s="13">
        <f t="shared" si="12"/>
        <v>0</v>
      </c>
      <c r="K261" s="6"/>
    </row>
    <row r="262" spans="1:11" x14ac:dyDescent="0.25">
      <c r="A262" s="3">
        <v>29</v>
      </c>
      <c r="B262" s="14" t="s">
        <v>25</v>
      </c>
      <c r="C262" s="15" t="str">
        <f>"7/2015-19/1"</f>
        <v>7/2015-19/1</v>
      </c>
      <c r="D262" s="15" t="str">
        <f t="shared" si="11"/>
        <v>ADRIATIC SERVIS</v>
      </c>
      <c r="E262" s="16">
        <v>42324</v>
      </c>
      <c r="F262" s="16">
        <v>42704</v>
      </c>
      <c r="G262" s="13">
        <v>94112.85</v>
      </c>
      <c r="H262" s="16">
        <v>42704</v>
      </c>
      <c r="I262" s="13">
        <v>6841.6</v>
      </c>
      <c r="J262" s="13">
        <f t="shared" si="12"/>
        <v>8552</v>
      </c>
      <c r="K262" s="6"/>
    </row>
    <row r="263" spans="1:11" x14ac:dyDescent="0.25">
      <c r="A263" s="3">
        <v>30</v>
      </c>
      <c r="B263" s="14" t="s">
        <v>44</v>
      </c>
      <c r="C263" s="15" t="str">
        <f>"7/2015-21/10"</f>
        <v>7/2015-21/10</v>
      </c>
      <c r="D263" s="15" t="str">
        <f t="shared" si="11"/>
        <v>ADRIATIC SERVIS</v>
      </c>
      <c r="E263" s="16">
        <v>42341</v>
      </c>
      <c r="F263" s="16">
        <v>42705</v>
      </c>
      <c r="G263" s="13">
        <v>132360.09</v>
      </c>
      <c r="H263" s="16">
        <v>42705</v>
      </c>
      <c r="I263" s="13">
        <v>0</v>
      </c>
      <c r="J263" s="13">
        <f t="shared" si="12"/>
        <v>0</v>
      </c>
      <c r="K263" s="6"/>
    </row>
    <row r="264" spans="1:11" x14ac:dyDescent="0.25">
      <c r="A264" s="3">
        <v>31</v>
      </c>
      <c r="B264" s="14" t="s">
        <v>44</v>
      </c>
      <c r="C264" s="15" t="str">
        <f>"7/2015-21/2"</f>
        <v>7/2015-21/2</v>
      </c>
      <c r="D264" s="15" t="str">
        <f t="shared" si="11"/>
        <v>ADRIATIC SERVIS</v>
      </c>
      <c r="E264" s="16">
        <v>42341</v>
      </c>
      <c r="F264" s="16">
        <v>42705</v>
      </c>
      <c r="G264" s="13">
        <v>366032.59</v>
      </c>
      <c r="H264" s="16">
        <v>42705</v>
      </c>
      <c r="I264" s="13">
        <v>0</v>
      </c>
      <c r="J264" s="13">
        <f t="shared" si="12"/>
        <v>0</v>
      </c>
      <c r="K264" s="6"/>
    </row>
    <row r="265" spans="1:11" x14ac:dyDescent="0.25">
      <c r="A265" s="3">
        <v>32</v>
      </c>
      <c r="B265" s="14" t="s">
        <v>44</v>
      </c>
      <c r="C265" s="15" t="str">
        <f>"7/2015-21/8"</f>
        <v>7/2015-21/8</v>
      </c>
      <c r="D265" s="15" t="str">
        <f t="shared" si="11"/>
        <v>ADRIATIC SERVIS</v>
      </c>
      <c r="E265" s="16">
        <v>42341</v>
      </c>
      <c r="F265" s="16">
        <v>42705</v>
      </c>
      <c r="G265" s="13">
        <v>96796.66</v>
      </c>
      <c r="H265" s="16">
        <v>42705</v>
      </c>
      <c r="I265" s="13">
        <v>0</v>
      </c>
      <c r="J265" s="13">
        <f t="shared" si="12"/>
        <v>0</v>
      </c>
      <c r="K265" s="6"/>
    </row>
    <row r="266" spans="1:11" x14ac:dyDescent="0.25">
      <c r="A266" s="3">
        <v>33</v>
      </c>
      <c r="B266" s="14" t="s">
        <v>44</v>
      </c>
      <c r="C266" s="15" t="str">
        <f>"7/2015-21/9"</f>
        <v>7/2015-21/9</v>
      </c>
      <c r="D266" s="15" t="str">
        <f t="shared" ref="D266:D284" si="13">CONCATENATE("ADRIATIC SERVIS")</f>
        <v>ADRIATIC SERVIS</v>
      </c>
      <c r="E266" s="16">
        <v>42341</v>
      </c>
      <c r="F266" s="16">
        <v>42705</v>
      </c>
      <c r="G266" s="13">
        <v>253565.76</v>
      </c>
      <c r="H266" s="16">
        <v>42705</v>
      </c>
      <c r="I266" s="13">
        <v>0</v>
      </c>
      <c r="J266" s="13">
        <f t="shared" si="12"/>
        <v>0</v>
      </c>
      <c r="K266" s="6"/>
    </row>
    <row r="267" spans="1:11" ht="24" x14ac:dyDescent="0.25">
      <c r="A267" s="3">
        <v>34</v>
      </c>
      <c r="B267" s="14" t="s">
        <v>55</v>
      </c>
      <c r="C267" s="15" t="str">
        <f>"55-20-15-AS-1"</f>
        <v>55-20-15-AS-1</v>
      </c>
      <c r="D267" s="15" t="str">
        <f t="shared" si="13"/>
        <v>ADRIATIC SERVIS</v>
      </c>
      <c r="E267" s="16">
        <v>42324</v>
      </c>
      <c r="F267" s="16">
        <v>43054</v>
      </c>
      <c r="G267" s="13">
        <v>226929.12</v>
      </c>
      <c r="H267" s="16">
        <v>43054</v>
      </c>
      <c r="I267" s="13">
        <v>0</v>
      </c>
      <c r="J267" s="13">
        <f t="shared" si="12"/>
        <v>0</v>
      </c>
      <c r="K267" s="6"/>
    </row>
    <row r="268" spans="1:11" x14ac:dyDescent="0.25">
      <c r="A268" s="3">
        <v>35</v>
      </c>
      <c r="B268" s="14" t="s">
        <v>29</v>
      </c>
      <c r="C268" s="15" t="str">
        <f>"7/2015-12"</f>
        <v>7/2015-12</v>
      </c>
      <c r="D268" s="15" t="str">
        <f t="shared" si="13"/>
        <v>ADRIATIC SERVIS</v>
      </c>
      <c r="E268" s="16">
        <v>42321</v>
      </c>
      <c r="F268" s="16">
        <v>42690</v>
      </c>
      <c r="G268" s="13">
        <v>142224.78</v>
      </c>
      <c r="H268" s="16">
        <v>42690</v>
      </c>
      <c r="I268" s="13">
        <v>0</v>
      </c>
      <c r="J268" s="13">
        <f t="shared" si="12"/>
        <v>0</v>
      </c>
      <c r="K268" s="6"/>
    </row>
    <row r="269" spans="1:11" x14ac:dyDescent="0.25">
      <c r="A269" s="3">
        <v>36</v>
      </c>
      <c r="B269" s="14" t="s">
        <v>35</v>
      </c>
      <c r="C269" s="15" t="str">
        <f>"7/2015-13/9"</f>
        <v>7/2015-13/9</v>
      </c>
      <c r="D269" s="15" t="str">
        <f t="shared" si="13"/>
        <v>ADRIATIC SERVIS</v>
      </c>
      <c r="E269" s="16">
        <v>42317</v>
      </c>
      <c r="F269" s="16">
        <v>42683</v>
      </c>
      <c r="G269" s="13">
        <v>74144.86</v>
      </c>
      <c r="H269" s="16">
        <v>42683</v>
      </c>
      <c r="I269" s="13">
        <v>12357.48</v>
      </c>
      <c r="J269" s="13">
        <f t="shared" si="12"/>
        <v>15446.849999999999</v>
      </c>
      <c r="K269" s="6"/>
    </row>
    <row r="270" spans="1:11" x14ac:dyDescent="0.25">
      <c r="A270" s="3">
        <v>37</v>
      </c>
      <c r="B270" s="14" t="s">
        <v>35</v>
      </c>
      <c r="C270" s="15" t="str">
        <f>"7/2015-13/10"</f>
        <v>7/2015-13/10</v>
      </c>
      <c r="D270" s="15" t="str">
        <f t="shared" si="13"/>
        <v>ADRIATIC SERVIS</v>
      </c>
      <c r="E270" s="16">
        <v>42317</v>
      </c>
      <c r="F270" s="16">
        <v>42683</v>
      </c>
      <c r="G270" s="13">
        <v>69549.820000000007</v>
      </c>
      <c r="H270" s="16">
        <v>42683</v>
      </c>
      <c r="I270" s="13">
        <v>11591.64</v>
      </c>
      <c r="J270" s="13">
        <f t="shared" si="12"/>
        <v>14489.55</v>
      </c>
      <c r="K270" s="6"/>
    </row>
    <row r="271" spans="1:11" x14ac:dyDescent="0.25">
      <c r="A271" s="3">
        <v>38</v>
      </c>
      <c r="B271" s="14" t="s">
        <v>35</v>
      </c>
      <c r="C271" s="15" t="str">
        <f>"7/2015-13/7"</f>
        <v>7/2015-13/7</v>
      </c>
      <c r="D271" s="15" t="str">
        <f t="shared" si="13"/>
        <v>ADRIATIC SERVIS</v>
      </c>
      <c r="E271" s="16">
        <v>42317</v>
      </c>
      <c r="F271" s="16">
        <v>42683</v>
      </c>
      <c r="G271" s="13">
        <v>25011.040000000001</v>
      </c>
      <c r="H271" s="16">
        <v>42683</v>
      </c>
      <c r="I271" s="13">
        <v>4168.51</v>
      </c>
      <c r="J271" s="13">
        <f t="shared" si="12"/>
        <v>5210.6375000000007</v>
      </c>
      <c r="K271" s="6"/>
    </row>
    <row r="272" spans="1:11" x14ac:dyDescent="0.25">
      <c r="A272" s="3">
        <v>39</v>
      </c>
      <c r="B272" s="14" t="s">
        <v>35</v>
      </c>
      <c r="C272" s="15" t="str">
        <f>"7/2015-13/8"</f>
        <v>7/2015-13/8</v>
      </c>
      <c r="D272" s="15" t="str">
        <f t="shared" si="13"/>
        <v>ADRIATIC SERVIS</v>
      </c>
      <c r="E272" s="16">
        <v>42317</v>
      </c>
      <c r="F272" s="16">
        <v>42683</v>
      </c>
      <c r="G272" s="13">
        <v>39399.160000000003</v>
      </c>
      <c r="H272" s="16">
        <v>42683</v>
      </c>
      <c r="I272" s="13">
        <v>6566.53</v>
      </c>
      <c r="J272" s="13">
        <f t="shared" si="12"/>
        <v>8208.1625000000004</v>
      </c>
      <c r="K272" s="6"/>
    </row>
    <row r="273" spans="1:11" x14ac:dyDescent="0.25">
      <c r="A273" s="3">
        <v>40</v>
      </c>
      <c r="B273" s="14" t="s">
        <v>35</v>
      </c>
      <c r="C273" s="15" t="str">
        <f>"7/2015-13/1"</f>
        <v>7/2015-13/1</v>
      </c>
      <c r="D273" s="15" t="str">
        <f t="shared" si="13"/>
        <v>ADRIATIC SERVIS</v>
      </c>
      <c r="E273" s="16">
        <v>42317</v>
      </c>
      <c r="F273" s="16">
        <v>42683</v>
      </c>
      <c r="G273" s="13">
        <v>31063.26</v>
      </c>
      <c r="H273" s="16">
        <v>42683</v>
      </c>
      <c r="I273" s="13">
        <v>5177.21</v>
      </c>
      <c r="J273" s="13">
        <f t="shared" si="12"/>
        <v>6471.5124999999998</v>
      </c>
      <c r="K273" s="6"/>
    </row>
    <row r="274" spans="1:11" x14ac:dyDescent="0.25">
      <c r="A274" s="3">
        <v>41</v>
      </c>
      <c r="B274" s="14" t="s">
        <v>35</v>
      </c>
      <c r="C274" s="15" t="str">
        <f>"7/2015-13/2"</f>
        <v>7/2015-13/2</v>
      </c>
      <c r="D274" s="15" t="str">
        <f t="shared" si="13"/>
        <v>ADRIATIC SERVIS</v>
      </c>
      <c r="E274" s="16">
        <v>42317</v>
      </c>
      <c r="F274" s="16">
        <v>42683</v>
      </c>
      <c r="G274" s="13">
        <v>73055.09</v>
      </c>
      <c r="H274" s="16">
        <v>42683</v>
      </c>
      <c r="I274" s="13">
        <v>12175.85</v>
      </c>
      <c r="J274" s="13">
        <f t="shared" si="12"/>
        <v>15219.8125</v>
      </c>
      <c r="K274" s="6"/>
    </row>
    <row r="275" spans="1:11" x14ac:dyDescent="0.25">
      <c r="A275" s="3">
        <v>42</v>
      </c>
      <c r="B275" s="14" t="s">
        <v>35</v>
      </c>
      <c r="C275" s="15" t="str">
        <f>"7/2015-13/5"</f>
        <v>7/2015-13/5</v>
      </c>
      <c r="D275" s="15" t="str">
        <f t="shared" si="13"/>
        <v>ADRIATIC SERVIS</v>
      </c>
      <c r="E275" s="16">
        <v>42317</v>
      </c>
      <c r="F275" s="16">
        <v>42683</v>
      </c>
      <c r="G275" s="13">
        <v>30233.88</v>
      </c>
      <c r="H275" s="16">
        <v>42683</v>
      </c>
      <c r="I275" s="13">
        <v>5038.9799999999996</v>
      </c>
      <c r="J275" s="13">
        <f t="shared" si="12"/>
        <v>6298.7249999999995</v>
      </c>
      <c r="K275" s="6"/>
    </row>
    <row r="276" spans="1:11" x14ac:dyDescent="0.25">
      <c r="A276" s="3">
        <v>43</v>
      </c>
      <c r="B276" s="14" t="s">
        <v>35</v>
      </c>
      <c r="C276" s="15" t="str">
        <f>"7/2015-13/6"</f>
        <v>7/2015-13/6</v>
      </c>
      <c r="D276" s="15" t="str">
        <f t="shared" si="13"/>
        <v>ADRIATIC SERVIS</v>
      </c>
      <c r="E276" s="16">
        <v>42317</v>
      </c>
      <c r="F276" s="16">
        <v>42683</v>
      </c>
      <c r="G276" s="13">
        <v>48290.76</v>
      </c>
      <c r="H276" s="16">
        <v>42683</v>
      </c>
      <c r="I276" s="13">
        <v>8048.46</v>
      </c>
      <c r="J276" s="13">
        <f t="shared" si="12"/>
        <v>10060.575000000001</v>
      </c>
      <c r="K276" s="6"/>
    </row>
    <row r="277" spans="1:11" x14ac:dyDescent="0.25">
      <c r="A277" s="3">
        <v>44</v>
      </c>
      <c r="B277" s="14" t="s">
        <v>36</v>
      </c>
      <c r="C277" s="15" t="str">
        <f>"7/2015-11"</f>
        <v>7/2015-11</v>
      </c>
      <c r="D277" s="15" t="str">
        <f t="shared" si="13"/>
        <v>ADRIATIC SERVIS</v>
      </c>
      <c r="E277" s="16">
        <v>42317</v>
      </c>
      <c r="F277" s="16">
        <v>43048</v>
      </c>
      <c r="G277" s="13">
        <v>27462.14</v>
      </c>
      <c r="H277" s="16">
        <v>43048</v>
      </c>
      <c r="I277" s="13">
        <v>1824.62</v>
      </c>
      <c r="J277" s="13">
        <f t="shared" si="12"/>
        <v>2280.7749999999996</v>
      </c>
      <c r="K277" s="6"/>
    </row>
    <row r="278" spans="1:11" ht="24" x14ac:dyDescent="0.25">
      <c r="A278" s="3">
        <v>45</v>
      </c>
      <c r="B278" s="14" t="s">
        <v>30</v>
      </c>
      <c r="C278" s="15" t="str">
        <f>"510/7-C-U-0051/90"</f>
        <v>510/7-C-U-0051/90</v>
      </c>
      <c r="D278" s="15" t="str">
        <f t="shared" si="13"/>
        <v>ADRIATIC SERVIS</v>
      </c>
      <c r="E278" s="16">
        <v>42311</v>
      </c>
      <c r="F278" s="16">
        <v>42683</v>
      </c>
      <c r="G278" s="13">
        <v>14943.76</v>
      </c>
      <c r="H278" s="16">
        <v>42683</v>
      </c>
      <c r="I278" s="13">
        <v>2490</v>
      </c>
      <c r="J278" s="13">
        <f t="shared" si="12"/>
        <v>3112.5</v>
      </c>
      <c r="K278" s="6"/>
    </row>
    <row r="279" spans="1:11" x14ac:dyDescent="0.25">
      <c r="A279" s="3">
        <v>46</v>
      </c>
      <c r="B279" s="14" t="s">
        <v>33</v>
      </c>
      <c r="C279" s="15" t="str">
        <f>"7/2015-05/1"</f>
        <v>7/2015-05/1</v>
      </c>
      <c r="D279" s="15" t="str">
        <f t="shared" si="13"/>
        <v>ADRIATIC SERVIS</v>
      </c>
      <c r="E279" s="16">
        <v>42310</v>
      </c>
      <c r="F279" s="16">
        <v>42676</v>
      </c>
      <c r="G279" s="13">
        <v>91311.24</v>
      </c>
      <c r="H279" s="16">
        <v>42676</v>
      </c>
      <c r="I279" s="13">
        <v>0</v>
      </c>
      <c r="J279" s="13">
        <f t="shared" si="12"/>
        <v>0</v>
      </c>
      <c r="K279" s="6"/>
    </row>
    <row r="280" spans="1:11" x14ac:dyDescent="0.25">
      <c r="A280" s="3">
        <v>47</v>
      </c>
      <c r="B280" s="14" t="s">
        <v>33</v>
      </c>
      <c r="C280" s="15" t="str">
        <f>"7/2015-05/2"</f>
        <v>7/2015-05/2</v>
      </c>
      <c r="D280" s="15" t="str">
        <f t="shared" si="13"/>
        <v>ADRIATIC SERVIS</v>
      </c>
      <c r="E280" s="16">
        <v>42310</v>
      </c>
      <c r="F280" s="16">
        <v>42676</v>
      </c>
      <c r="G280" s="13">
        <v>110856.44</v>
      </c>
      <c r="H280" s="16">
        <v>42676</v>
      </c>
      <c r="I280" s="13">
        <v>0</v>
      </c>
      <c r="J280" s="13">
        <f t="shared" si="12"/>
        <v>0</v>
      </c>
      <c r="K280" s="6"/>
    </row>
    <row r="281" spans="1:11" x14ac:dyDescent="0.25">
      <c r="A281" s="3">
        <v>48</v>
      </c>
      <c r="B281" s="14" t="s">
        <v>33</v>
      </c>
      <c r="C281" s="15" t="str">
        <f>"7/2015-05/3"</f>
        <v>7/2015-05/3</v>
      </c>
      <c r="D281" s="15" t="str">
        <f t="shared" si="13"/>
        <v>ADRIATIC SERVIS</v>
      </c>
      <c r="E281" s="16">
        <v>42310</v>
      </c>
      <c r="F281" s="16">
        <v>42676</v>
      </c>
      <c r="G281" s="13">
        <v>219802.77</v>
      </c>
      <c r="H281" s="16">
        <v>42676</v>
      </c>
      <c r="I281" s="13">
        <v>0</v>
      </c>
      <c r="J281" s="13">
        <f t="shared" si="12"/>
        <v>0</v>
      </c>
      <c r="K281" s="6"/>
    </row>
    <row r="282" spans="1:11" ht="24" x14ac:dyDescent="0.25">
      <c r="A282" s="3">
        <v>49</v>
      </c>
      <c r="B282" s="14" t="s">
        <v>28</v>
      </c>
      <c r="C282" s="15" t="str">
        <f>"7/2015-14/1"</f>
        <v>7/2015-14/1</v>
      </c>
      <c r="D282" s="15" t="str">
        <f t="shared" si="13"/>
        <v>ADRIATIC SERVIS</v>
      </c>
      <c r="E282" s="16">
        <v>42309</v>
      </c>
      <c r="F282" s="16">
        <v>42461</v>
      </c>
      <c r="G282" s="13">
        <v>29009.55</v>
      </c>
      <c r="H282" s="16">
        <v>42461</v>
      </c>
      <c r="I282" s="13">
        <v>10596.51</v>
      </c>
      <c r="J282" s="13">
        <f t="shared" si="12"/>
        <v>13245.637500000001</v>
      </c>
      <c r="K282" s="6"/>
    </row>
    <row r="283" spans="1:11" ht="24" x14ac:dyDescent="0.25">
      <c r="A283" s="3">
        <v>50</v>
      </c>
      <c r="B283" s="14" t="s">
        <v>61</v>
      </c>
      <c r="C283" s="15" t="str">
        <f>"7/2015-AS GRUPA 2"</f>
        <v>7/2015-AS GRUPA 2</v>
      </c>
      <c r="D283" s="15" t="str">
        <f t="shared" si="13"/>
        <v>ADRIATIC SERVIS</v>
      </c>
      <c r="E283" s="16">
        <v>42321</v>
      </c>
      <c r="F283" s="16">
        <v>42675</v>
      </c>
      <c r="G283" s="13">
        <v>2682.5</v>
      </c>
      <c r="H283" s="16">
        <v>42675</v>
      </c>
      <c r="I283" s="13">
        <v>2682.5</v>
      </c>
      <c r="J283" s="13">
        <f t="shared" si="12"/>
        <v>3353.125</v>
      </c>
      <c r="K283" s="6"/>
    </row>
    <row r="284" spans="1:11" ht="24" x14ac:dyDescent="0.25">
      <c r="A284" s="3">
        <v>51</v>
      </c>
      <c r="B284" s="14" t="s">
        <v>61</v>
      </c>
      <c r="C284" s="15" t="str">
        <f>"7/2015-AS"</f>
        <v>7/2015-AS</v>
      </c>
      <c r="D284" s="15" t="str">
        <f t="shared" si="13"/>
        <v>ADRIATIC SERVIS</v>
      </c>
      <c r="E284" s="16">
        <v>42321</v>
      </c>
      <c r="F284" s="16">
        <v>42675</v>
      </c>
      <c r="G284" s="13">
        <v>15486.44</v>
      </c>
      <c r="H284" s="16">
        <v>42675</v>
      </c>
      <c r="I284" s="13">
        <v>2306</v>
      </c>
      <c r="J284" s="13">
        <f t="shared" si="12"/>
        <v>2882.5</v>
      </c>
      <c r="K284" s="6"/>
    </row>
    <row r="285" spans="1:11" ht="7.5" customHeight="1" x14ac:dyDescent="0.25"/>
    <row r="286" spans="1:11" ht="42" customHeight="1" x14ac:dyDescent="0.25">
      <c r="A286" s="1" t="s">
        <v>0</v>
      </c>
      <c r="B286" s="2" t="s">
        <v>1</v>
      </c>
      <c r="C286" s="2" t="s">
        <v>6</v>
      </c>
      <c r="D286" s="2" t="s">
        <v>2</v>
      </c>
      <c r="E286" s="2" t="s">
        <v>3</v>
      </c>
      <c r="F286" s="2" t="s">
        <v>7</v>
      </c>
      <c r="G286" s="2" t="s">
        <v>8</v>
      </c>
      <c r="H286" s="2" t="s">
        <v>4</v>
      </c>
      <c r="I286" s="2" t="s">
        <v>5</v>
      </c>
    </row>
    <row r="287" spans="1:11" x14ac:dyDescent="0.25">
      <c r="A287" s="3">
        <v>1</v>
      </c>
      <c r="B287" s="6" t="s">
        <v>76</v>
      </c>
      <c r="C287" s="3" t="s">
        <v>85</v>
      </c>
      <c r="D287" s="3" t="s">
        <v>685</v>
      </c>
      <c r="E287" s="3" t="s">
        <v>24</v>
      </c>
      <c r="F287" s="21">
        <v>42299</v>
      </c>
      <c r="G287" s="3" t="s">
        <v>659</v>
      </c>
      <c r="H287" s="13">
        <v>23100000</v>
      </c>
      <c r="I287" s="13">
        <v>10181287.74</v>
      </c>
    </row>
    <row r="288" spans="1:11" x14ac:dyDescent="0.25">
      <c r="A288" s="42" t="s">
        <v>706</v>
      </c>
      <c r="B288" s="43"/>
      <c r="C288" s="43"/>
      <c r="D288" s="43"/>
      <c r="E288" s="43"/>
      <c r="F288" s="43"/>
      <c r="G288" s="43"/>
      <c r="H288" s="44"/>
      <c r="I288" s="13">
        <v>117957.79</v>
      </c>
    </row>
    <row r="289" spans="1:11" ht="7.5" customHeight="1" x14ac:dyDescent="0.25"/>
    <row r="290" spans="1:11" x14ac:dyDescent="0.25">
      <c r="A290" s="46" t="s">
        <v>20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</row>
    <row r="291" spans="1:11" ht="63.75" customHeight="1" x14ac:dyDescent="0.25">
      <c r="A291" s="4" t="s">
        <v>0</v>
      </c>
      <c r="B291" s="5" t="s">
        <v>10</v>
      </c>
      <c r="C291" s="5" t="s">
        <v>9</v>
      </c>
      <c r="D291" s="5" t="s">
        <v>13</v>
      </c>
      <c r="E291" s="5" t="s">
        <v>12</v>
      </c>
      <c r="F291" s="5" t="s">
        <v>11</v>
      </c>
      <c r="G291" s="5" t="s">
        <v>18</v>
      </c>
      <c r="H291" s="5" t="s">
        <v>14</v>
      </c>
      <c r="I291" s="5" t="s">
        <v>15</v>
      </c>
      <c r="J291" s="5" t="s">
        <v>16</v>
      </c>
      <c r="K291" s="5" t="s">
        <v>17</v>
      </c>
    </row>
    <row r="292" spans="1:11" ht="24" x14ac:dyDescent="0.25">
      <c r="A292" s="3">
        <v>1</v>
      </c>
      <c r="B292" s="14" t="s">
        <v>31</v>
      </c>
      <c r="C292" s="15" t="str">
        <f>"U160/15"</f>
        <v>U160/15</v>
      </c>
      <c r="D292" s="15" t="str">
        <f t="shared" ref="D292:D328" si="14">CONCATENATE("CONTROL HOME MANAGMENT D.O.O.")</f>
        <v>CONTROL HOME MANAGMENT D.O.O.</v>
      </c>
      <c r="E292" s="16">
        <v>42368</v>
      </c>
      <c r="F292" s="16"/>
      <c r="G292" s="13">
        <v>343591.77</v>
      </c>
      <c r="H292" s="16"/>
      <c r="I292" s="13">
        <v>0</v>
      </c>
      <c r="J292" s="13">
        <f>I292*1.25</f>
        <v>0</v>
      </c>
      <c r="K292" s="6"/>
    </row>
    <row r="293" spans="1:11" ht="24" x14ac:dyDescent="0.25">
      <c r="A293" s="3">
        <v>2</v>
      </c>
      <c r="B293" s="14" t="s">
        <v>49</v>
      </c>
      <c r="C293" s="15" t="str">
        <f>"1104/2015"</f>
        <v>1104/2015</v>
      </c>
      <c r="D293" s="15" t="str">
        <f t="shared" si="14"/>
        <v>CONTROL HOME MANAGMENT D.O.O.</v>
      </c>
      <c r="E293" s="16">
        <v>42310</v>
      </c>
      <c r="F293" s="16"/>
      <c r="G293" s="13">
        <v>714.35</v>
      </c>
      <c r="H293" s="16"/>
      <c r="I293" s="13">
        <v>714.35</v>
      </c>
      <c r="J293" s="13">
        <f t="shared" ref="J293:J328" si="15">I293*1.25</f>
        <v>892.9375</v>
      </c>
      <c r="K293" s="6"/>
    </row>
    <row r="294" spans="1:11" ht="24" x14ac:dyDescent="0.25">
      <c r="A294" s="3">
        <v>3</v>
      </c>
      <c r="B294" s="14" t="s">
        <v>31</v>
      </c>
      <c r="C294" s="15" t="str">
        <f>"U158/15"</f>
        <v>U158/15</v>
      </c>
      <c r="D294" s="15" t="str">
        <f t="shared" si="14"/>
        <v>CONTROL HOME MANAGMENT D.O.O.</v>
      </c>
      <c r="E294" s="16">
        <v>42368</v>
      </c>
      <c r="F294" s="16"/>
      <c r="G294" s="13">
        <v>6736.94</v>
      </c>
      <c r="H294" s="16"/>
      <c r="I294" s="13">
        <v>0</v>
      </c>
      <c r="J294" s="13">
        <f t="shared" si="15"/>
        <v>0</v>
      </c>
      <c r="K294" s="6"/>
    </row>
    <row r="295" spans="1:11" ht="24" x14ac:dyDescent="0.25">
      <c r="A295" s="3">
        <v>4</v>
      </c>
      <c r="B295" s="14" t="s">
        <v>31</v>
      </c>
      <c r="C295" s="15" t="str">
        <f>"U159/15"</f>
        <v>U159/15</v>
      </c>
      <c r="D295" s="15" t="str">
        <f t="shared" si="14"/>
        <v>CONTROL HOME MANAGMENT D.O.O.</v>
      </c>
      <c r="E295" s="16">
        <v>42368</v>
      </c>
      <c r="F295" s="16"/>
      <c r="G295" s="13">
        <v>5569.38</v>
      </c>
      <c r="H295" s="16"/>
      <c r="I295" s="13">
        <v>0</v>
      </c>
      <c r="J295" s="13">
        <f t="shared" si="15"/>
        <v>0</v>
      </c>
      <c r="K295" s="6"/>
    </row>
    <row r="296" spans="1:11" ht="24" x14ac:dyDescent="0.25">
      <c r="A296" s="3">
        <v>5</v>
      </c>
      <c r="B296" s="14" t="s">
        <v>49</v>
      </c>
      <c r="C296" s="15" t="str">
        <f>"1102/2015"</f>
        <v>1102/2015</v>
      </c>
      <c r="D296" s="15" t="str">
        <f t="shared" si="14"/>
        <v>CONTROL HOME MANAGMENT D.O.O.</v>
      </c>
      <c r="E296" s="16">
        <v>42310</v>
      </c>
      <c r="F296" s="16"/>
      <c r="G296" s="13">
        <v>5071.09</v>
      </c>
      <c r="H296" s="16"/>
      <c r="I296" s="13">
        <v>0</v>
      </c>
      <c r="J296" s="13">
        <f t="shared" si="15"/>
        <v>0</v>
      </c>
      <c r="K296" s="6"/>
    </row>
    <row r="297" spans="1:11" ht="24" x14ac:dyDescent="0.25">
      <c r="A297" s="3">
        <v>6</v>
      </c>
      <c r="B297" s="14" t="s">
        <v>49</v>
      </c>
      <c r="C297" s="15" t="str">
        <f>"1103/2015"</f>
        <v>1103/2015</v>
      </c>
      <c r="D297" s="15" t="str">
        <f t="shared" si="14"/>
        <v>CONTROL HOME MANAGMENT D.O.O.</v>
      </c>
      <c r="E297" s="16">
        <v>42310</v>
      </c>
      <c r="F297" s="16"/>
      <c r="G297" s="13">
        <v>946.03</v>
      </c>
      <c r="H297" s="16"/>
      <c r="I297" s="13">
        <v>946.03</v>
      </c>
      <c r="J297" s="13">
        <f t="shared" si="15"/>
        <v>1182.5374999999999</v>
      </c>
      <c r="K297" s="6"/>
    </row>
    <row r="298" spans="1:11" ht="24" x14ac:dyDescent="0.25">
      <c r="A298" s="3">
        <v>7</v>
      </c>
      <c r="B298" s="14" t="s">
        <v>30</v>
      </c>
      <c r="C298" s="15" t="str">
        <f>"520/7-C-U-0052/15-90"</f>
        <v>520/7-C-U-0052/15-90</v>
      </c>
      <c r="D298" s="15" t="str">
        <f t="shared" si="14"/>
        <v>CONTROL HOME MANAGMENT D.O.O.</v>
      </c>
      <c r="E298" s="16">
        <v>42311</v>
      </c>
      <c r="F298" s="16"/>
      <c r="G298" s="13">
        <v>74655</v>
      </c>
      <c r="H298" s="16"/>
      <c r="I298" s="13">
        <v>10499</v>
      </c>
      <c r="J298" s="13">
        <f t="shared" si="15"/>
        <v>13123.75</v>
      </c>
      <c r="K298" s="6"/>
    </row>
    <row r="299" spans="1:11" ht="24" x14ac:dyDescent="0.25">
      <c r="A299" s="3">
        <v>8</v>
      </c>
      <c r="B299" s="14" t="s">
        <v>31</v>
      </c>
      <c r="C299" s="15" t="str">
        <f>"U144/15"</f>
        <v>U144/15</v>
      </c>
      <c r="D299" s="15" t="str">
        <f t="shared" si="14"/>
        <v>CONTROL HOME MANAGMENT D.O.O.</v>
      </c>
      <c r="E299" s="16">
        <v>42368</v>
      </c>
      <c r="F299" s="16"/>
      <c r="G299" s="13">
        <v>13326.6</v>
      </c>
      <c r="H299" s="16"/>
      <c r="I299" s="13">
        <v>0</v>
      </c>
      <c r="J299" s="13">
        <f t="shared" si="15"/>
        <v>0</v>
      </c>
      <c r="K299" s="6"/>
    </row>
    <row r="300" spans="1:11" ht="24" x14ac:dyDescent="0.25">
      <c r="A300" s="3">
        <v>9</v>
      </c>
      <c r="B300" s="14" t="s">
        <v>31</v>
      </c>
      <c r="C300" s="15" t="str">
        <f>"U145/15"</f>
        <v>U145/15</v>
      </c>
      <c r="D300" s="15" t="str">
        <f t="shared" si="14"/>
        <v>CONTROL HOME MANAGMENT D.O.O.</v>
      </c>
      <c r="E300" s="16">
        <v>42368</v>
      </c>
      <c r="F300" s="16"/>
      <c r="G300" s="13">
        <v>8023.16</v>
      </c>
      <c r="H300" s="16"/>
      <c r="I300" s="13">
        <v>0</v>
      </c>
      <c r="J300" s="13">
        <f t="shared" si="15"/>
        <v>0</v>
      </c>
      <c r="K300" s="6"/>
    </row>
    <row r="301" spans="1:11" ht="24" x14ac:dyDescent="0.25">
      <c r="A301" s="3">
        <v>10</v>
      </c>
      <c r="B301" s="14" t="s">
        <v>31</v>
      </c>
      <c r="C301" s="15" t="str">
        <f>"U155/15"</f>
        <v>U155/15</v>
      </c>
      <c r="D301" s="15" t="str">
        <f t="shared" si="14"/>
        <v>CONTROL HOME MANAGMENT D.O.O.</v>
      </c>
      <c r="E301" s="16">
        <v>42368</v>
      </c>
      <c r="F301" s="16"/>
      <c r="G301" s="13">
        <v>7030.61</v>
      </c>
      <c r="H301" s="16"/>
      <c r="I301" s="13">
        <v>0</v>
      </c>
      <c r="J301" s="13">
        <f t="shared" si="15"/>
        <v>0</v>
      </c>
      <c r="K301" s="6"/>
    </row>
    <row r="302" spans="1:11" ht="24" x14ac:dyDescent="0.25">
      <c r="A302" s="3">
        <v>11</v>
      </c>
      <c r="B302" s="14" t="s">
        <v>31</v>
      </c>
      <c r="C302" s="15" t="str">
        <f>"U156/15"</f>
        <v>U156/15</v>
      </c>
      <c r="D302" s="15" t="str">
        <f t="shared" si="14"/>
        <v>CONTROL HOME MANAGMENT D.O.O.</v>
      </c>
      <c r="E302" s="16">
        <v>42368</v>
      </c>
      <c r="F302" s="16"/>
      <c r="G302" s="13">
        <v>5786</v>
      </c>
      <c r="H302" s="16"/>
      <c r="I302" s="13">
        <v>0</v>
      </c>
      <c r="J302" s="13">
        <f t="shared" si="15"/>
        <v>0</v>
      </c>
      <c r="K302" s="6"/>
    </row>
    <row r="303" spans="1:11" ht="24" x14ac:dyDescent="0.25">
      <c r="A303" s="3">
        <v>12</v>
      </c>
      <c r="B303" s="14" t="s">
        <v>31</v>
      </c>
      <c r="C303" s="15" t="str">
        <f>"U157/15"</f>
        <v>U157/15</v>
      </c>
      <c r="D303" s="15" t="str">
        <f t="shared" si="14"/>
        <v>CONTROL HOME MANAGMENT D.O.O.</v>
      </c>
      <c r="E303" s="16">
        <v>42368</v>
      </c>
      <c r="F303" s="16"/>
      <c r="G303" s="13">
        <v>8563.4</v>
      </c>
      <c r="H303" s="16"/>
      <c r="I303" s="13">
        <v>0</v>
      </c>
      <c r="J303" s="13">
        <f t="shared" si="15"/>
        <v>0</v>
      </c>
      <c r="K303" s="6"/>
    </row>
    <row r="304" spans="1:11" ht="24" x14ac:dyDescent="0.25">
      <c r="A304" s="3">
        <v>13</v>
      </c>
      <c r="B304" s="14" t="s">
        <v>44</v>
      </c>
      <c r="C304" s="15" t="str">
        <f>"7/2015-21/14"</f>
        <v>7/2015-21/14</v>
      </c>
      <c r="D304" s="15" t="str">
        <f t="shared" si="14"/>
        <v>CONTROL HOME MANAGMENT D.O.O.</v>
      </c>
      <c r="E304" s="16">
        <v>42341</v>
      </c>
      <c r="F304" s="16">
        <v>42705</v>
      </c>
      <c r="G304" s="13">
        <v>119982.48</v>
      </c>
      <c r="H304" s="16">
        <v>42705</v>
      </c>
      <c r="I304" s="13">
        <v>0</v>
      </c>
      <c r="J304" s="13">
        <f t="shared" si="15"/>
        <v>0</v>
      </c>
      <c r="K304" s="6"/>
    </row>
    <row r="305" spans="1:11" ht="24" x14ac:dyDescent="0.25">
      <c r="A305" s="3">
        <v>14</v>
      </c>
      <c r="B305" s="14" t="s">
        <v>44</v>
      </c>
      <c r="C305" s="15" t="str">
        <f>"7/2015-21/13"</f>
        <v>7/2015-21/13</v>
      </c>
      <c r="D305" s="15" t="str">
        <f t="shared" si="14"/>
        <v>CONTROL HOME MANAGMENT D.O.O.</v>
      </c>
      <c r="E305" s="16">
        <v>42341</v>
      </c>
      <c r="F305" s="16">
        <v>42705</v>
      </c>
      <c r="G305" s="13">
        <v>154172.24</v>
      </c>
      <c r="H305" s="16">
        <v>42705</v>
      </c>
      <c r="I305" s="13">
        <v>0</v>
      </c>
      <c r="J305" s="13">
        <f t="shared" si="15"/>
        <v>0</v>
      </c>
      <c r="K305" s="6"/>
    </row>
    <row r="306" spans="1:11" ht="24" x14ac:dyDescent="0.25">
      <c r="A306" s="3">
        <v>15</v>
      </c>
      <c r="B306" s="14" t="s">
        <v>44</v>
      </c>
      <c r="C306" s="15" t="str">
        <f>"7/2015-21/12"</f>
        <v>7/2015-21/12</v>
      </c>
      <c r="D306" s="15" t="str">
        <f t="shared" si="14"/>
        <v>CONTROL HOME MANAGMENT D.O.O.</v>
      </c>
      <c r="E306" s="16">
        <v>42341</v>
      </c>
      <c r="F306" s="16">
        <v>42705</v>
      </c>
      <c r="G306" s="13">
        <v>179492.16</v>
      </c>
      <c r="H306" s="16">
        <v>42705</v>
      </c>
      <c r="I306" s="13">
        <v>0</v>
      </c>
      <c r="J306" s="13">
        <f t="shared" si="15"/>
        <v>0</v>
      </c>
      <c r="K306" s="6"/>
    </row>
    <row r="307" spans="1:11" ht="24" x14ac:dyDescent="0.25">
      <c r="A307" s="3">
        <v>16</v>
      </c>
      <c r="B307" s="14" t="s">
        <v>44</v>
      </c>
      <c r="C307" s="15" t="str">
        <f>"7/2015-21/11"</f>
        <v>7/2015-21/11</v>
      </c>
      <c r="D307" s="15" t="str">
        <f t="shared" si="14"/>
        <v>CONTROL HOME MANAGMENT D.O.O.</v>
      </c>
      <c r="E307" s="16">
        <v>42341</v>
      </c>
      <c r="F307" s="16">
        <v>42705</v>
      </c>
      <c r="G307" s="13">
        <v>138333.24</v>
      </c>
      <c r="H307" s="16">
        <v>42705</v>
      </c>
      <c r="I307" s="13">
        <v>0</v>
      </c>
      <c r="J307" s="13">
        <f t="shared" si="15"/>
        <v>0</v>
      </c>
      <c r="K307" s="6"/>
    </row>
    <row r="308" spans="1:11" ht="24" x14ac:dyDescent="0.25">
      <c r="A308" s="3">
        <v>17</v>
      </c>
      <c r="B308" s="14" t="s">
        <v>44</v>
      </c>
      <c r="C308" s="15" t="str">
        <f>"7/2015-21/3"</f>
        <v>7/2015-21/3</v>
      </c>
      <c r="D308" s="15" t="str">
        <f t="shared" si="14"/>
        <v>CONTROL HOME MANAGMENT D.O.O.</v>
      </c>
      <c r="E308" s="16">
        <v>42341</v>
      </c>
      <c r="F308" s="16">
        <v>42705</v>
      </c>
      <c r="G308" s="13">
        <v>93884.88</v>
      </c>
      <c r="H308" s="16">
        <v>42705</v>
      </c>
      <c r="I308" s="13">
        <v>0</v>
      </c>
      <c r="J308" s="13">
        <f t="shared" si="15"/>
        <v>0</v>
      </c>
      <c r="K308" s="6"/>
    </row>
    <row r="309" spans="1:11" ht="24" x14ac:dyDescent="0.25">
      <c r="A309" s="3">
        <v>18</v>
      </c>
      <c r="B309" s="14" t="s">
        <v>54</v>
      </c>
      <c r="C309" s="15" t="str">
        <f>"7/2015-CHM-15/93-3"</f>
        <v>7/2015-CHM-15/93-3</v>
      </c>
      <c r="D309" s="15" t="str">
        <f t="shared" si="14"/>
        <v>CONTROL HOME MANAGMENT D.O.O.</v>
      </c>
      <c r="E309" s="16">
        <v>42331</v>
      </c>
      <c r="F309" s="16">
        <v>42460</v>
      </c>
      <c r="G309" s="13">
        <v>6831.18</v>
      </c>
      <c r="H309" s="16">
        <v>42460</v>
      </c>
      <c r="I309" s="13">
        <v>0</v>
      </c>
      <c r="J309" s="13">
        <f t="shared" si="15"/>
        <v>0</v>
      </c>
      <c r="K309" s="6"/>
    </row>
    <row r="310" spans="1:11" ht="24" x14ac:dyDescent="0.25">
      <c r="A310" s="3">
        <v>19</v>
      </c>
      <c r="B310" s="14" t="s">
        <v>54</v>
      </c>
      <c r="C310" s="15" t="str">
        <f>"7/2015-CHM-15/93-2"</f>
        <v>7/2015-CHM-15/93-2</v>
      </c>
      <c r="D310" s="15" t="str">
        <f t="shared" si="14"/>
        <v>CONTROL HOME MANAGMENT D.O.O.</v>
      </c>
      <c r="E310" s="16">
        <v>42328</v>
      </c>
      <c r="F310" s="16">
        <v>42460</v>
      </c>
      <c r="G310" s="13">
        <v>50172.36</v>
      </c>
      <c r="H310" s="16">
        <v>42460</v>
      </c>
      <c r="I310" s="13">
        <v>0</v>
      </c>
      <c r="J310" s="13">
        <f t="shared" si="15"/>
        <v>0</v>
      </c>
      <c r="K310" s="6"/>
    </row>
    <row r="311" spans="1:11" ht="24" x14ac:dyDescent="0.25">
      <c r="A311" s="3">
        <v>20</v>
      </c>
      <c r="B311" s="14" t="s">
        <v>41</v>
      </c>
      <c r="C311" s="15" t="str">
        <f>"4-DUSJN/15"</f>
        <v>4-DUSJN/15</v>
      </c>
      <c r="D311" s="15" t="str">
        <f t="shared" si="14"/>
        <v>CONTROL HOME MANAGMENT D.O.O.</v>
      </c>
      <c r="E311" s="16">
        <v>42339</v>
      </c>
      <c r="F311" s="16">
        <v>42705</v>
      </c>
      <c r="G311" s="13">
        <v>178749.42</v>
      </c>
      <c r="H311" s="16">
        <v>42705</v>
      </c>
      <c r="I311" s="13">
        <v>0</v>
      </c>
      <c r="J311" s="13">
        <f t="shared" si="15"/>
        <v>0</v>
      </c>
      <c r="K311" s="6"/>
    </row>
    <row r="312" spans="1:11" ht="24" x14ac:dyDescent="0.25">
      <c r="A312" s="3">
        <v>21</v>
      </c>
      <c r="B312" s="14" t="s">
        <v>25</v>
      </c>
      <c r="C312" s="15" t="str">
        <f>"7/2015-19/2"</f>
        <v>7/2015-19/2</v>
      </c>
      <c r="D312" s="15" t="str">
        <f t="shared" si="14"/>
        <v>CONTROL HOME MANAGMENT D.O.O.</v>
      </c>
      <c r="E312" s="16">
        <v>42325</v>
      </c>
      <c r="F312" s="16">
        <v>42704</v>
      </c>
      <c r="G312" s="13">
        <v>70371.520000000004</v>
      </c>
      <c r="H312" s="16">
        <v>42704</v>
      </c>
      <c r="I312" s="13">
        <v>5506.43</v>
      </c>
      <c r="J312" s="13">
        <f t="shared" si="15"/>
        <v>6883.0375000000004</v>
      </c>
      <c r="K312" s="6"/>
    </row>
    <row r="313" spans="1:11" ht="24" x14ac:dyDescent="0.25">
      <c r="A313" s="3">
        <v>22</v>
      </c>
      <c r="B313" s="14" t="s">
        <v>44</v>
      </c>
      <c r="C313" s="15" t="str">
        <f>"7/2015-21/4"</f>
        <v>7/2015-21/4</v>
      </c>
      <c r="D313" s="15" t="str">
        <f t="shared" si="14"/>
        <v>CONTROL HOME MANAGMENT D.O.O.</v>
      </c>
      <c r="E313" s="16">
        <v>42341</v>
      </c>
      <c r="F313" s="16">
        <v>42705</v>
      </c>
      <c r="G313" s="13">
        <v>192193.29</v>
      </c>
      <c r="H313" s="16">
        <v>42705</v>
      </c>
      <c r="I313" s="13">
        <v>0</v>
      </c>
      <c r="J313" s="13">
        <f t="shared" si="15"/>
        <v>0</v>
      </c>
      <c r="K313" s="6"/>
    </row>
    <row r="314" spans="1:11" ht="24" x14ac:dyDescent="0.25">
      <c r="A314" s="3">
        <v>23</v>
      </c>
      <c r="B314" s="14" t="s">
        <v>55</v>
      </c>
      <c r="C314" s="15" t="str">
        <f>"55-20-15-CHM-1"</f>
        <v>55-20-15-CHM-1</v>
      </c>
      <c r="D314" s="15" t="str">
        <f t="shared" si="14"/>
        <v>CONTROL HOME MANAGMENT D.O.O.</v>
      </c>
      <c r="E314" s="16">
        <v>42327</v>
      </c>
      <c r="F314" s="16">
        <v>43054</v>
      </c>
      <c r="G314" s="13">
        <v>450020.06</v>
      </c>
      <c r="H314" s="16">
        <v>43054</v>
      </c>
      <c r="I314" s="13">
        <v>0</v>
      </c>
      <c r="J314" s="13">
        <f t="shared" si="15"/>
        <v>0</v>
      </c>
      <c r="K314" s="6"/>
    </row>
    <row r="315" spans="1:11" ht="36" x14ac:dyDescent="0.25">
      <c r="A315" s="3">
        <v>24</v>
      </c>
      <c r="B315" s="14" t="s">
        <v>59</v>
      </c>
      <c r="C315" s="15" t="str">
        <f>"000481/2015"</f>
        <v>000481/2015</v>
      </c>
      <c r="D315" s="15" t="str">
        <f t="shared" si="14"/>
        <v>CONTROL HOME MANAGMENT D.O.O.</v>
      </c>
      <c r="E315" s="16">
        <v>42307</v>
      </c>
      <c r="F315" s="16">
        <v>42683</v>
      </c>
      <c r="G315" s="13">
        <v>117397.13</v>
      </c>
      <c r="H315" s="16">
        <v>42683</v>
      </c>
      <c r="I315" s="13">
        <v>0</v>
      </c>
      <c r="J315" s="13">
        <f t="shared" si="15"/>
        <v>0</v>
      </c>
      <c r="K315" s="6"/>
    </row>
    <row r="316" spans="1:11" ht="24" x14ac:dyDescent="0.25">
      <c r="A316" s="3">
        <v>25</v>
      </c>
      <c r="B316" s="14" t="s">
        <v>36</v>
      </c>
      <c r="C316" s="15" t="str">
        <f>"7/2015-20"</f>
        <v>7/2015-20</v>
      </c>
      <c r="D316" s="15" t="str">
        <f t="shared" si="14"/>
        <v>CONTROL HOME MANAGMENT D.O.O.</v>
      </c>
      <c r="E316" s="16">
        <v>42317</v>
      </c>
      <c r="F316" s="16">
        <v>43048</v>
      </c>
      <c r="G316" s="13">
        <v>590037.88</v>
      </c>
      <c r="H316" s="16">
        <v>43048</v>
      </c>
      <c r="I316" s="13">
        <v>39060.99</v>
      </c>
      <c r="J316" s="13">
        <f t="shared" si="15"/>
        <v>48826.237499999996</v>
      </c>
      <c r="K316" s="6"/>
    </row>
    <row r="317" spans="1:11" ht="24" x14ac:dyDescent="0.25">
      <c r="A317" s="3">
        <v>26</v>
      </c>
      <c r="B317" s="14" t="s">
        <v>26</v>
      </c>
      <c r="C317" s="15" t="str">
        <f>"7/2015-01"</f>
        <v>7/2015-01</v>
      </c>
      <c r="D317" s="15" t="str">
        <f t="shared" si="14"/>
        <v>CONTROL HOME MANAGMENT D.O.O.</v>
      </c>
      <c r="E317" s="16">
        <v>42313</v>
      </c>
      <c r="F317" s="16">
        <v>42460</v>
      </c>
      <c r="G317" s="13">
        <v>13364.4</v>
      </c>
      <c r="H317" s="16">
        <v>42460</v>
      </c>
      <c r="I317" s="13">
        <v>2797.2</v>
      </c>
      <c r="J317" s="13">
        <f t="shared" si="15"/>
        <v>3496.5</v>
      </c>
      <c r="K317" s="6"/>
    </row>
    <row r="318" spans="1:11" ht="24" x14ac:dyDescent="0.25">
      <c r="A318" s="3">
        <v>27</v>
      </c>
      <c r="B318" s="14" t="s">
        <v>86</v>
      </c>
      <c r="C318" s="15" t="str">
        <f>"7/2015-17"</f>
        <v>7/2015-17</v>
      </c>
      <c r="D318" s="15" t="str">
        <f t="shared" si="14"/>
        <v>CONTROL HOME MANAGMENT D.O.O.</v>
      </c>
      <c r="E318" s="16">
        <v>42311</v>
      </c>
      <c r="F318" s="16">
        <v>42460</v>
      </c>
      <c r="G318" s="13">
        <v>6080.14</v>
      </c>
      <c r="H318" s="16">
        <v>42460</v>
      </c>
      <c r="I318" s="13">
        <v>0</v>
      </c>
      <c r="J318" s="13">
        <f t="shared" si="15"/>
        <v>0</v>
      </c>
      <c r="K318" s="6"/>
    </row>
    <row r="319" spans="1:11" ht="24" x14ac:dyDescent="0.25">
      <c r="A319" s="3">
        <v>28</v>
      </c>
      <c r="B319" s="14" t="s">
        <v>33</v>
      </c>
      <c r="C319" s="15" t="str">
        <f>"7/2015-05/4"</f>
        <v>7/2015-05/4</v>
      </c>
      <c r="D319" s="15" t="str">
        <f t="shared" si="14"/>
        <v>CONTROL HOME MANAGMENT D.O.O.</v>
      </c>
      <c r="E319" s="16">
        <v>42310</v>
      </c>
      <c r="F319" s="16">
        <v>42676</v>
      </c>
      <c r="G319" s="13">
        <v>32899.56</v>
      </c>
      <c r="H319" s="16">
        <v>42676</v>
      </c>
      <c r="I319" s="13">
        <v>0</v>
      </c>
      <c r="J319" s="13">
        <f t="shared" si="15"/>
        <v>0</v>
      </c>
      <c r="K319" s="6"/>
    </row>
    <row r="320" spans="1:11" ht="24" x14ac:dyDescent="0.25">
      <c r="A320" s="3">
        <v>29</v>
      </c>
      <c r="B320" s="14" t="s">
        <v>33</v>
      </c>
      <c r="C320" s="15" t="str">
        <f>"7/2015-05/5"</f>
        <v>7/2015-05/5</v>
      </c>
      <c r="D320" s="15" t="str">
        <f t="shared" si="14"/>
        <v>CONTROL HOME MANAGMENT D.O.O.</v>
      </c>
      <c r="E320" s="16">
        <v>42310</v>
      </c>
      <c r="F320" s="16">
        <v>42676</v>
      </c>
      <c r="G320" s="13">
        <v>7539.36</v>
      </c>
      <c r="H320" s="16">
        <v>42676</v>
      </c>
      <c r="I320" s="13">
        <v>0</v>
      </c>
      <c r="J320" s="13">
        <f t="shared" si="15"/>
        <v>0</v>
      </c>
      <c r="K320" s="6"/>
    </row>
    <row r="321" spans="1:11" ht="24" x14ac:dyDescent="0.25">
      <c r="A321" s="3">
        <v>30</v>
      </c>
      <c r="B321" s="14" t="s">
        <v>52</v>
      </c>
      <c r="C321" s="15" t="str">
        <f>"7/2015-DUSJN"</f>
        <v>7/2015-DUSJN</v>
      </c>
      <c r="D321" s="15" t="str">
        <f t="shared" si="14"/>
        <v>CONTROL HOME MANAGMENT D.O.O.</v>
      </c>
      <c r="E321" s="16">
        <v>42304</v>
      </c>
      <c r="F321" s="16">
        <v>42675</v>
      </c>
      <c r="G321" s="13">
        <v>7781</v>
      </c>
      <c r="H321" s="16">
        <v>42675</v>
      </c>
      <c r="I321" s="13">
        <v>648.41999999999996</v>
      </c>
      <c r="J321" s="13">
        <f t="shared" si="15"/>
        <v>810.52499999999998</v>
      </c>
      <c r="K321" s="6"/>
    </row>
    <row r="322" spans="1:11" ht="24" x14ac:dyDescent="0.25">
      <c r="A322" s="3">
        <v>31</v>
      </c>
      <c r="B322" s="14" t="s">
        <v>28</v>
      </c>
      <c r="C322" s="15" t="str">
        <f>"7/2015-14/2"</f>
        <v>7/2015-14/2</v>
      </c>
      <c r="D322" s="15" t="str">
        <f t="shared" si="14"/>
        <v>CONTROL HOME MANAGMENT D.O.O.</v>
      </c>
      <c r="E322" s="16">
        <v>42309</v>
      </c>
      <c r="F322" s="16">
        <v>42461</v>
      </c>
      <c r="G322" s="13">
        <v>82669.55</v>
      </c>
      <c r="H322" s="16">
        <v>42461</v>
      </c>
      <c r="I322" s="13">
        <v>29277.49</v>
      </c>
      <c r="J322" s="13">
        <f t="shared" si="15"/>
        <v>36596.862500000003</v>
      </c>
      <c r="K322" s="6"/>
    </row>
    <row r="323" spans="1:11" ht="24" x14ac:dyDescent="0.25">
      <c r="A323" s="3">
        <v>32</v>
      </c>
      <c r="B323" s="14" t="s">
        <v>51</v>
      </c>
      <c r="C323" s="15" t="str">
        <f>"7/2015-02"</f>
        <v>7/2015-02</v>
      </c>
      <c r="D323" s="15" t="str">
        <f t="shared" si="14"/>
        <v>CONTROL HOME MANAGMENT D.O.O.</v>
      </c>
      <c r="E323" s="16">
        <v>42310</v>
      </c>
      <c r="F323" s="16">
        <v>42675</v>
      </c>
      <c r="G323" s="13">
        <v>675722.4</v>
      </c>
      <c r="H323" s="16">
        <v>42675</v>
      </c>
      <c r="I323" s="13">
        <v>0</v>
      </c>
      <c r="J323" s="13">
        <f t="shared" si="15"/>
        <v>0</v>
      </c>
      <c r="K323" s="6"/>
    </row>
    <row r="324" spans="1:11" ht="24" x14ac:dyDescent="0.25">
      <c r="A324" s="3">
        <v>33</v>
      </c>
      <c r="B324" s="14" t="s">
        <v>52</v>
      </c>
      <c r="C324" s="15" t="str">
        <f>"7/2015-00"</f>
        <v>7/2015-00</v>
      </c>
      <c r="D324" s="15" t="str">
        <f t="shared" si="14"/>
        <v>CONTROL HOME MANAGMENT D.O.O.</v>
      </c>
      <c r="E324" s="16">
        <v>42304</v>
      </c>
      <c r="F324" s="16">
        <v>42675</v>
      </c>
      <c r="G324" s="13">
        <v>7781</v>
      </c>
      <c r="H324" s="16">
        <v>42675</v>
      </c>
      <c r="I324" s="13">
        <v>0</v>
      </c>
      <c r="J324" s="13">
        <f t="shared" si="15"/>
        <v>0</v>
      </c>
      <c r="K324" s="6"/>
    </row>
    <row r="325" spans="1:11" ht="24" x14ac:dyDescent="0.25">
      <c r="A325" s="3">
        <v>34</v>
      </c>
      <c r="B325" s="14" t="s">
        <v>61</v>
      </c>
      <c r="C325" s="15" t="str">
        <f>"7/2015-CHM GRUPA 13"</f>
        <v>7/2015-CHM GRUPA 13</v>
      </c>
      <c r="D325" s="15" t="str">
        <f t="shared" si="14"/>
        <v>CONTROL HOME MANAGMENT D.O.O.</v>
      </c>
      <c r="E325" s="16">
        <v>42321</v>
      </c>
      <c r="F325" s="16">
        <v>42675</v>
      </c>
      <c r="G325" s="13">
        <v>17979</v>
      </c>
      <c r="H325" s="16">
        <v>42675</v>
      </c>
      <c r="I325" s="13">
        <v>2475</v>
      </c>
      <c r="J325" s="13">
        <f t="shared" si="15"/>
        <v>3093.75</v>
      </c>
      <c r="K325" s="6"/>
    </row>
    <row r="326" spans="1:11" ht="24" x14ac:dyDescent="0.25">
      <c r="A326" s="3">
        <v>35</v>
      </c>
      <c r="B326" s="14" t="s">
        <v>61</v>
      </c>
      <c r="C326" s="15" t="str">
        <f>"7/2015-CHM"</f>
        <v>7/2015-CHM</v>
      </c>
      <c r="D326" s="15" t="str">
        <f t="shared" si="14"/>
        <v>CONTROL HOME MANAGMENT D.O.O.</v>
      </c>
      <c r="E326" s="16">
        <v>42321</v>
      </c>
      <c r="F326" s="16">
        <v>42675</v>
      </c>
      <c r="G326" s="13">
        <v>27196.13</v>
      </c>
      <c r="H326" s="16">
        <v>42675</v>
      </c>
      <c r="I326" s="13">
        <v>4264.38</v>
      </c>
      <c r="J326" s="13">
        <f t="shared" si="15"/>
        <v>5330.4750000000004</v>
      </c>
      <c r="K326" s="6"/>
    </row>
    <row r="327" spans="1:11" ht="24" x14ac:dyDescent="0.25">
      <c r="A327" s="3">
        <v>36</v>
      </c>
      <c r="B327" s="14" t="s">
        <v>47</v>
      </c>
      <c r="C327" s="15" t="str">
        <f>"7/2015-03"</f>
        <v>7/2015-03</v>
      </c>
      <c r="D327" s="15" t="str">
        <f t="shared" si="14"/>
        <v>CONTROL HOME MANAGMENT D.O.O.</v>
      </c>
      <c r="E327" s="16">
        <v>42307</v>
      </c>
      <c r="F327" s="16">
        <v>43040</v>
      </c>
      <c r="G327" s="13">
        <v>167623.84</v>
      </c>
      <c r="H327" s="16">
        <v>43040</v>
      </c>
      <c r="I327" s="13">
        <v>0</v>
      </c>
      <c r="J327" s="13">
        <f t="shared" si="15"/>
        <v>0</v>
      </c>
      <c r="K327" s="6"/>
    </row>
    <row r="328" spans="1:11" ht="24" x14ac:dyDescent="0.25">
      <c r="A328" s="3">
        <v>37</v>
      </c>
      <c r="B328" s="14" t="s">
        <v>58</v>
      </c>
      <c r="C328" s="15" t="str">
        <f>"7/2015-09"</f>
        <v>7/2015-09</v>
      </c>
      <c r="D328" s="15" t="str">
        <f t="shared" si="14"/>
        <v>CONTROL HOME MANAGMENT D.O.O.</v>
      </c>
      <c r="E328" s="16">
        <v>42309</v>
      </c>
      <c r="F328" s="16">
        <v>43040</v>
      </c>
      <c r="G328" s="13">
        <v>269226.2</v>
      </c>
      <c r="H328" s="16">
        <v>43040</v>
      </c>
      <c r="I328" s="13">
        <v>21768.5</v>
      </c>
      <c r="J328" s="13">
        <f t="shared" si="15"/>
        <v>27210.625</v>
      </c>
      <c r="K328" s="6"/>
    </row>
  </sheetData>
  <sheetProtection algorithmName="SHA-512" hashValue="pgjWotltUBBx0ZWUJGfIuVakgTDLk6N7BaBVsW/51ysfOFWFBCnlwE6jLy0OavMdGRICKSksSiFt8eYLTJGZhQ==" saltValue="o34DwYc13eX8UPyU9efSog==" spinCount="100000" sheet="1" objects="1" scenarios="1"/>
  <mergeCells count="13">
    <mergeCell ref="A151:H151"/>
    <mergeCell ref="A1:I1"/>
    <mergeCell ref="A4:H4"/>
    <mergeCell ref="A6:K6"/>
    <mergeCell ref="A111:H111"/>
    <mergeCell ref="A113:K113"/>
    <mergeCell ref="A290:K290"/>
    <mergeCell ref="A153:K153"/>
    <mergeCell ref="A173:H173"/>
    <mergeCell ref="A175:K175"/>
    <mergeCell ref="A230:H230"/>
    <mergeCell ref="A232:K232"/>
    <mergeCell ref="A288:H288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224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22</v>
      </c>
      <c r="C3" s="3" t="s">
        <v>23</v>
      </c>
      <c r="D3" s="3" t="s">
        <v>694</v>
      </c>
      <c r="E3" s="3" t="s">
        <v>24</v>
      </c>
      <c r="F3" s="21">
        <v>41724</v>
      </c>
      <c r="G3" s="3" t="s">
        <v>659</v>
      </c>
      <c r="H3" s="13">
        <v>8000000</v>
      </c>
      <c r="I3" s="13">
        <v>7698150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4006735.37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x14ac:dyDescent="0.25">
      <c r="A8" s="3">
        <v>1</v>
      </c>
      <c r="B8" s="14" t="s">
        <v>25</v>
      </c>
      <c r="C8" s="15" t="str">
        <f>"10/2013-1-54"</f>
        <v>10/2013-1-54</v>
      </c>
      <c r="D8" s="15" t="str">
        <f t="shared" ref="D8:D57" si="0">CONCATENATE("CAPRICORNO D.O.O.")</f>
        <v>CAPRICORNO D.O.O.</v>
      </c>
      <c r="E8" s="16">
        <v>42005</v>
      </c>
      <c r="F8" s="16">
        <v>42454</v>
      </c>
      <c r="G8" s="13">
        <v>51410</v>
      </c>
      <c r="H8" s="16">
        <v>42454</v>
      </c>
      <c r="I8" s="13">
        <v>61573.3</v>
      </c>
      <c r="J8" s="13">
        <f>I8*1.25</f>
        <v>76966.625</v>
      </c>
      <c r="K8" s="6"/>
    </row>
    <row r="9" spans="1:11" x14ac:dyDescent="0.25">
      <c r="A9" s="3">
        <v>2</v>
      </c>
      <c r="B9" s="14" t="s">
        <v>26</v>
      </c>
      <c r="C9" s="15" t="str">
        <f>"7/2015"</f>
        <v>7/2015</v>
      </c>
      <c r="D9" s="15" t="str">
        <f t="shared" si="0"/>
        <v>CAPRICORNO D.O.O.</v>
      </c>
      <c r="E9" s="16">
        <v>42005</v>
      </c>
      <c r="F9" s="16">
        <v>42369</v>
      </c>
      <c r="G9" s="13">
        <v>24660</v>
      </c>
      <c r="H9" s="16">
        <v>42369</v>
      </c>
      <c r="I9" s="13">
        <v>22135</v>
      </c>
      <c r="J9" s="13">
        <f t="shared" ref="J9:J57" si="1">I9*1.25</f>
        <v>27668.75</v>
      </c>
      <c r="K9" s="6"/>
    </row>
    <row r="10" spans="1:11" ht="24" x14ac:dyDescent="0.25">
      <c r="A10" s="3">
        <v>3</v>
      </c>
      <c r="B10" s="14" t="s">
        <v>27</v>
      </c>
      <c r="C10" s="15" t="str">
        <f>"36356/2-14"</f>
        <v>36356/2-14</v>
      </c>
      <c r="D10" s="15" t="str">
        <f t="shared" si="0"/>
        <v>CAPRICORNO D.O.O.</v>
      </c>
      <c r="E10" s="16">
        <v>42095</v>
      </c>
      <c r="F10" s="17"/>
      <c r="G10" s="13">
        <v>1553753</v>
      </c>
      <c r="H10" s="17"/>
      <c r="I10" s="13">
        <v>1553753</v>
      </c>
      <c r="J10" s="13">
        <f t="shared" si="1"/>
        <v>1942191.25</v>
      </c>
      <c r="K10" s="6"/>
    </row>
    <row r="11" spans="1:11" ht="24" x14ac:dyDescent="0.25">
      <c r="A11" s="3">
        <v>4</v>
      </c>
      <c r="B11" s="14" t="s">
        <v>28</v>
      </c>
      <c r="C11" s="15" t="str">
        <f>"MGPU 10/2013-1"</f>
        <v>MGPU 10/2013-1</v>
      </c>
      <c r="D11" s="15" t="str">
        <f t="shared" si="0"/>
        <v>CAPRICORNO D.O.O.</v>
      </c>
      <c r="E11" s="16">
        <v>42069</v>
      </c>
      <c r="F11" s="16">
        <v>42369</v>
      </c>
      <c r="G11" s="13">
        <v>39947.199999999997</v>
      </c>
      <c r="H11" s="16">
        <v>42369</v>
      </c>
      <c r="I11" s="13">
        <v>29742.799999999999</v>
      </c>
      <c r="J11" s="13">
        <f t="shared" si="1"/>
        <v>37178.5</v>
      </c>
      <c r="K11" s="6"/>
    </row>
    <row r="12" spans="1:11" x14ac:dyDescent="0.25">
      <c r="A12" s="3">
        <v>5</v>
      </c>
      <c r="B12" s="14" t="s">
        <v>29</v>
      </c>
      <c r="C12" s="15" t="str">
        <f>"10/2013-1"</f>
        <v>10/2013-1</v>
      </c>
      <c r="D12" s="15" t="str">
        <f t="shared" si="0"/>
        <v>CAPRICORNO D.O.O.</v>
      </c>
      <c r="E12" s="16">
        <v>41724</v>
      </c>
      <c r="F12" s="17"/>
      <c r="G12" s="13">
        <v>0</v>
      </c>
      <c r="H12" s="17"/>
      <c r="I12" s="13">
        <v>12604</v>
      </c>
      <c r="J12" s="13">
        <f t="shared" si="1"/>
        <v>15755</v>
      </c>
      <c r="K12" s="6"/>
    </row>
    <row r="13" spans="1:11" ht="24" x14ac:dyDescent="0.25">
      <c r="A13" s="3">
        <v>6</v>
      </c>
      <c r="B13" s="14" t="s">
        <v>30</v>
      </c>
      <c r="C13" s="15" t="str">
        <f>"000287/2015"</f>
        <v>000287/2015</v>
      </c>
      <c r="D13" s="15" t="str">
        <f t="shared" si="0"/>
        <v>CAPRICORNO D.O.O.</v>
      </c>
      <c r="E13" s="16">
        <v>42139</v>
      </c>
      <c r="F13" s="17"/>
      <c r="G13" s="13">
        <v>27942</v>
      </c>
      <c r="H13" s="17"/>
      <c r="I13" s="13">
        <v>17319</v>
      </c>
      <c r="J13" s="13">
        <f t="shared" si="1"/>
        <v>21648.75</v>
      </c>
      <c r="K13" s="6"/>
    </row>
    <row r="14" spans="1:11" ht="24" x14ac:dyDescent="0.25">
      <c r="A14" s="3">
        <v>7</v>
      </c>
      <c r="B14" s="14" t="s">
        <v>31</v>
      </c>
      <c r="C14" s="15" t="str">
        <f>"NAR2015-VG1"</f>
        <v>NAR2015-VG1</v>
      </c>
      <c r="D14" s="15" t="str">
        <f t="shared" si="0"/>
        <v>CAPRICORNO D.O.O.</v>
      </c>
      <c r="E14" s="16">
        <v>42079</v>
      </c>
      <c r="F14" s="17"/>
      <c r="G14" s="13">
        <v>77320</v>
      </c>
      <c r="H14" s="17"/>
      <c r="I14" s="13">
        <v>77320</v>
      </c>
      <c r="J14" s="13">
        <f t="shared" si="1"/>
        <v>96650</v>
      </c>
      <c r="K14" s="6"/>
    </row>
    <row r="15" spans="1:11" ht="24" x14ac:dyDescent="0.25">
      <c r="A15" s="3">
        <v>8</v>
      </c>
      <c r="B15" s="14" t="s">
        <v>32</v>
      </c>
      <c r="C15" s="15" t="str">
        <f>"920-07/14-13/18"</f>
        <v>920-07/14-13/18</v>
      </c>
      <c r="D15" s="15" t="str">
        <f t="shared" si="0"/>
        <v>CAPRICORNO D.O.O.</v>
      </c>
      <c r="E15" s="16">
        <v>41739</v>
      </c>
      <c r="F15" s="17"/>
      <c r="G15" s="13">
        <v>17400</v>
      </c>
      <c r="H15" s="17"/>
      <c r="I15" s="13">
        <v>10869.91</v>
      </c>
      <c r="J15" s="13">
        <f t="shared" si="1"/>
        <v>13587.387500000001</v>
      </c>
      <c r="K15" s="6"/>
    </row>
    <row r="16" spans="1:11" x14ac:dyDescent="0.25">
      <c r="A16" s="3">
        <v>9</v>
      </c>
      <c r="B16" s="14" t="s">
        <v>33</v>
      </c>
      <c r="C16" s="15" t="str">
        <f>"10/2013-1-35"</f>
        <v>10/2013-1-35</v>
      </c>
      <c r="D16" s="15" t="str">
        <f t="shared" si="0"/>
        <v>CAPRICORNO D.O.O.</v>
      </c>
      <c r="E16" s="16">
        <v>41730</v>
      </c>
      <c r="F16" s="16">
        <v>42095</v>
      </c>
      <c r="G16" s="13">
        <v>270200</v>
      </c>
      <c r="H16" s="16">
        <v>42095</v>
      </c>
      <c r="I16" s="13">
        <v>32782</v>
      </c>
      <c r="J16" s="13">
        <f t="shared" si="1"/>
        <v>40977.5</v>
      </c>
      <c r="K16" s="6"/>
    </row>
    <row r="17" spans="1:11" ht="36" x14ac:dyDescent="0.25">
      <c r="A17" s="3">
        <v>10</v>
      </c>
      <c r="B17" s="14" t="s">
        <v>34</v>
      </c>
      <c r="C17" s="15" t="str">
        <f>"21/UZOP/2015"</f>
        <v>21/UZOP/2015</v>
      </c>
      <c r="D17" s="15" t="str">
        <f t="shared" si="0"/>
        <v>CAPRICORNO D.O.O.</v>
      </c>
      <c r="E17" s="16">
        <v>42095</v>
      </c>
      <c r="F17" s="16">
        <v>42455</v>
      </c>
      <c r="G17" s="13">
        <v>274200</v>
      </c>
      <c r="H17" s="16">
        <v>42455</v>
      </c>
      <c r="I17" s="13">
        <v>141240</v>
      </c>
      <c r="J17" s="13">
        <f t="shared" si="1"/>
        <v>176550</v>
      </c>
      <c r="K17" s="6"/>
    </row>
    <row r="18" spans="1:11" x14ac:dyDescent="0.25">
      <c r="A18" s="3">
        <v>11</v>
      </c>
      <c r="B18" s="14" t="s">
        <v>35</v>
      </c>
      <c r="C18" s="15" t="str">
        <f>"154/2014"</f>
        <v>154/2014</v>
      </c>
      <c r="D18" s="15" t="str">
        <f t="shared" si="0"/>
        <v>CAPRICORNO D.O.O.</v>
      </c>
      <c r="E18" s="16">
        <v>41760</v>
      </c>
      <c r="F18" s="16">
        <v>42124</v>
      </c>
      <c r="G18" s="13">
        <v>90975</v>
      </c>
      <c r="H18" s="16">
        <v>42124</v>
      </c>
      <c r="I18" s="13">
        <v>80204.52</v>
      </c>
      <c r="J18" s="13">
        <f t="shared" si="1"/>
        <v>100255.65000000001</v>
      </c>
      <c r="K18" s="6"/>
    </row>
    <row r="19" spans="1:11" x14ac:dyDescent="0.25">
      <c r="A19" s="3">
        <v>12</v>
      </c>
      <c r="B19" s="14" t="s">
        <v>36</v>
      </c>
      <c r="C19" s="15" t="str">
        <f>"10/2013-1-38"</f>
        <v>10/2013-1-38</v>
      </c>
      <c r="D19" s="15" t="str">
        <f t="shared" si="0"/>
        <v>CAPRICORNO D.O.O.</v>
      </c>
      <c r="E19" s="16">
        <v>41731</v>
      </c>
      <c r="F19" s="16">
        <v>42096</v>
      </c>
      <c r="G19" s="13">
        <v>65500</v>
      </c>
      <c r="H19" s="16">
        <v>42096</v>
      </c>
      <c r="I19" s="13">
        <v>47115.02</v>
      </c>
      <c r="J19" s="13">
        <f t="shared" si="1"/>
        <v>58893.774999999994</v>
      </c>
      <c r="K19" s="6"/>
    </row>
    <row r="20" spans="1:11" ht="36" x14ac:dyDescent="0.25">
      <c r="A20" s="3">
        <v>13</v>
      </c>
      <c r="B20" s="14" t="s">
        <v>34</v>
      </c>
      <c r="C20" s="15" t="str">
        <f>"25/UZOP/2014"</f>
        <v>25/UZOP/2014</v>
      </c>
      <c r="D20" s="15" t="str">
        <f t="shared" si="0"/>
        <v>CAPRICORNO D.O.O.</v>
      </c>
      <c r="E20" s="16">
        <v>41761</v>
      </c>
      <c r="F20" s="17"/>
      <c r="G20" s="13">
        <v>190000</v>
      </c>
      <c r="H20" s="17"/>
      <c r="I20" s="13">
        <v>148428.4</v>
      </c>
      <c r="J20" s="13">
        <f t="shared" si="1"/>
        <v>185535.5</v>
      </c>
      <c r="K20" s="6"/>
    </row>
    <row r="21" spans="1:11" ht="24" x14ac:dyDescent="0.25">
      <c r="A21" s="3">
        <v>14</v>
      </c>
      <c r="B21" s="14" t="s">
        <v>37</v>
      </c>
      <c r="C21" s="15" t="str">
        <f>"26/UPRHPUTEMUZPOP-A/2014"</f>
        <v>26/UPRHPUTEMUZPOP-A/2014</v>
      </c>
      <c r="D21" s="15" t="str">
        <f t="shared" si="0"/>
        <v>CAPRICORNO D.O.O.</v>
      </c>
      <c r="E21" s="16">
        <v>41761</v>
      </c>
      <c r="F21" s="16">
        <v>42126</v>
      </c>
      <c r="G21" s="13">
        <v>27195</v>
      </c>
      <c r="H21" s="16">
        <v>42126</v>
      </c>
      <c r="I21" s="13">
        <v>6683.64</v>
      </c>
      <c r="J21" s="13">
        <f t="shared" si="1"/>
        <v>8354.5500000000011</v>
      </c>
      <c r="K21" s="6"/>
    </row>
    <row r="22" spans="1:11" x14ac:dyDescent="0.25">
      <c r="A22" s="3">
        <v>15</v>
      </c>
      <c r="B22" s="14" t="s">
        <v>38</v>
      </c>
      <c r="C22" s="15" t="str">
        <f>"4/2014"</f>
        <v>4/2014</v>
      </c>
      <c r="D22" s="15" t="str">
        <f t="shared" si="0"/>
        <v>CAPRICORNO D.O.O.</v>
      </c>
      <c r="E22" s="16">
        <v>41732</v>
      </c>
      <c r="F22" s="16">
        <v>42455</v>
      </c>
      <c r="G22" s="13">
        <v>27635</v>
      </c>
      <c r="H22" s="16">
        <v>42455</v>
      </c>
      <c r="I22" s="23">
        <v>23653.4</v>
      </c>
      <c r="J22" s="13">
        <f t="shared" si="1"/>
        <v>29566.75</v>
      </c>
      <c r="K22" s="6"/>
    </row>
    <row r="23" spans="1:11" ht="24" x14ac:dyDescent="0.25">
      <c r="A23" s="3">
        <v>16</v>
      </c>
      <c r="B23" s="14" t="s">
        <v>39</v>
      </c>
      <c r="C23" s="15" t="str">
        <f>"34/14"</f>
        <v>34/14</v>
      </c>
      <c r="D23" s="15" t="str">
        <f t="shared" si="0"/>
        <v>CAPRICORNO D.O.O.</v>
      </c>
      <c r="E23" s="16">
        <v>41733</v>
      </c>
      <c r="F23" s="16">
        <v>42464</v>
      </c>
      <c r="G23" s="13">
        <v>251990</v>
      </c>
      <c r="H23" s="16">
        <v>42464</v>
      </c>
      <c r="I23" s="13">
        <v>203219.31</v>
      </c>
      <c r="J23" s="13">
        <f t="shared" si="1"/>
        <v>254024.13750000001</v>
      </c>
      <c r="K23" s="6"/>
    </row>
    <row r="24" spans="1:11" x14ac:dyDescent="0.25">
      <c r="A24" s="3">
        <v>17</v>
      </c>
      <c r="B24" s="14" t="s">
        <v>40</v>
      </c>
      <c r="C24" s="15" t="str">
        <f>"11-2014/P+VP"</f>
        <v>11-2014/P+VP</v>
      </c>
      <c r="D24" s="15" t="str">
        <f t="shared" si="0"/>
        <v>CAPRICORNO D.O.O.</v>
      </c>
      <c r="E24" s="16">
        <v>41733</v>
      </c>
      <c r="F24" s="16">
        <v>42098</v>
      </c>
      <c r="G24" s="13">
        <v>64604</v>
      </c>
      <c r="H24" s="16">
        <v>42098</v>
      </c>
      <c r="I24" s="13">
        <v>10971.9</v>
      </c>
      <c r="J24" s="13">
        <f t="shared" si="1"/>
        <v>13714.875</v>
      </c>
      <c r="K24" s="6"/>
    </row>
    <row r="25" spans="1:11" ht="24" x14ac:dyDescent="0.25">
      <c r="A25" s="3">
        <v>18</v>
      </c>
      <c r="B25" s="14" t="s">
        <v>37</v>
      </c>
      <c r="C25" s="15" t="str">
        <f>"22/UPRHPUTEMUZOP/2015"</f>
        <v>22/UPRHPUTEMUZOP/2015</v>
      </c>
      <c r="D25" s="15" t="str">
        <f t="shared" si="0"/>
        <v>CAPRICORNO D.O.O.</v>
      </c>
      <c r="E25" s="16">
        <v>42128</v>
      </c>
      <c r="F25" s="16">
        <v>42455</v>
      </c>
      <c r="G25" s="13">
        <v>27195</v>
      </c>
      <c r="H25" s="16">
        <v>42455</v>
      </c>
      <c r="I25" s="13">
        <v>9207.36</v>
      </c>
      <c r="J25" s="13">
        <f t="shared" si="1"/>
        <v>11509.2</v>
      </c>
      <c r="K25" s="6"/>
    </row>
    <row r="26" spans="1:11" x14ac:dyDescent="0.25">
      <c r="A26" s="3">
        <v>19</v>
      </c>
      <c r="B26" s="14" t="s">
        <v>40</v>
      </c>
      <c r="C26" s="15" t="str">
        <f>"10/2013-1-2"</f>
        <v>10/2013-1-2</v>
      </c>
      <c r="D26" s="15" t="str">
        <f t="shared" si="0"/>
        <v>CAPRICORNO D.O.O.</v>
      </c>
      <c r="E26" s="16">
        <v>42099</v>
      </c>
      <c r="F26" s="16">
        <v>42465</v>
      </c>
      <c r="G26" s="13">
        <v>64604</v>
      </c>
      <c r="H26" s="16">
        <v>42465</v>
      </c>
      <c r="I26" s="13">
        <v>31993</v>
      </c>
      <c r="J26" s="13">
        <f t="shared" si="1"/>
        <v>39991.25</v>
      </c>
      <c r="K26" s="6"/>
    </row>
    <row r="27" spans="1:11" x14ac:dyDescent="0.25">
      <c r="A27" s="3">
        <v>20</v>
      </c>
      <c r="B27" s="14" t="s">
        <v>41</v>
      </c>
      <c r="C27" s="15" t="str">
        <f>"1/14-DUSJN-III"</f>
        <v>1/14-DUSJN-III</v>
      </c>
      <c r="D27" s="15" t="str">
        <f t="shared" si="0"/>
        <v>CAPRICORNO D.O.O.</v>
      </c>
      <c r="E27" s="16">
        <v>41765</v>
      </c>
      <c r="F27" s="16">
        <v>42130</v>
      </c>
      <c r="G27" s="13">
        <v>187774.1</v>
      </c>
      <c r="H27" s="16">
        <v>42130</v>
      </c>
      <c r="I27" s="13">
        <v>119655.96</v>
      </c>
      <c r="J27" s="13">
        <f t="shared" si="1"/>
        <v>149569.95000000001</v>
      </c>
      <c r="K27" s="6"/>
    </row>
    <row r="28" spans="1:11" ht="24" x14ac:dyDescent="0.25">
      <c r="A28" s="3">
        <v>21</v>
      </c>
      <c r="B28" s="14" t="s">
        <v>42</v>
      </c>
      <c r="C28" s="15" t="str">
        <f>"SNUG-202-15-0041"</f>
        <v>SNUG-202-15-0041</v>
      </c>
      <c r="D28" s="15" t="str">
        <f t="shared" si="0"/>
        <v>CAPRICORNO D.O.O.</v>
      </c>
      <c r="E28" s="16">
        <v>42192</v>
      </c>
      <c r="F28" s="16">
        <v>42369</v>
      </c>
      <c r="G28" s="13">
        <v>176005.89</v>
      </c>
      <c r="H28" s="16">
        <v>42369</v>
      </c>
      <c r="I28" s="13">
        <v>175433.45</v>
      </c>
      <c r="J28" s="13">
        <f t="shared" si="1"/>
        <v>219291.8125</v>
      </c>
      <c r="K28" s="6"/>
    </row>
    <row r="29" spans="1:11" ht="24" x14ac:dyDescent="0.25">
      <c r="A29" s="3">
        <v>22</v>
      </c>
      <c r="B29" s="14" t="s">
        <v>42</v>
      </c>
      <c r="C29" s="15" t="str">
        <f>"SNUG-202-15-0003"</f>
        <v>SNUG-202-15-0003</v>
      </c>
      <c r="D29" s="15" t="str">
        <f t="shared" si="0"/>
        <v>CAPRICORNO D.O.O.</v>
      </c>
      <c r="E29" s="16">
        <v>42044</v>
      </c>
      <c r="F29" s="16">
        <v>42369</v>
      </c>
      <c r="G29" s="13">
        <v>123630.68</v>
      </c>
      <c r="H29" s="16">
        <v>42369</v>
      </c>
      <c r="I29" s="13">
        <v>122398.34</v>
      </c>
      <c r="J29" s="13">
        <f t="shared" si="1"/>
        <v>152997.92499999999</v>
      </c>
      <c r="K29" s="6"/>
    </row>
    <row r="30" spans="1:11" ht="24" x14ac:dyDescent="0.25">
      <c r="A30" s="3">
        <v>23</v>
      </c>
      <c r="B30" s="14" t="s">
        <v>43</v>
      </c>
      <c r="C30" s="15" t="str">
        <f>"URBROJ10/2013-1-90"</f>
        <v>URBROJ10/2013-1-90</v>
      </c>
      <c r="D30" s="15" t="str">
        <f t="shared" si="0"/>
        <v>CAPRICORNO D.O.O.</v>
      </c>
      <c r="E30" s="16">
        <v>42051</v>
      </c>
      <c r="F30" s="16">
        <v>42369</v>
      </c>
      <c r="G30" s="13">
        <v>25000</v>
      </c>
      <c r="H30" s="16">
        <v>42369</v>
      </c>
      <c r="I30" s="13">
        <v>15843.34</v>
      </c>
      <c r="J30" s="13">
        <f t="shared" si="1"/>
        <v>19804.174999999999</v>
      </c>
      <c r="K30" s="6"/>
    </row>
    <row r="31" spans="1:11" x14ac:dyDescent="0.25">
      <c r="A31" s="3">
        <v>24</v>
      </c>
      <c r="B31" s="14" t="s">
        <v>44</v>
      </c>
      <c r="C31" s="15" t="str">
        <f>"10/2013-1-37"</f>
        <v>10/2013-1-37</v>
      </c>
      <c r="D31" s="15" t="str">
        <f t="shared" si="0"/>
        <v>CAPRICORNO D.O.O.</v>
      </c>
      <c r="E31" s="16">
        <v>41746</v>
      </c>
      <c r="F31" s="16">
        <v>42477</v>
      </c>
      <c r="G31" s="13">
        <v>459422.5</v>
      </c>
      <c r="H31" s="16">
        <v>42477</v>
      </c>
      <c r="I31" s="13">
        <v>213452</v>
      </c>
      <c r="J31" s="13">
        <f t="shared" si="1"/>
        <v>266815</v>
      </c>
      <c r="K31" s="6"/>
    </row>
    <row r="32" spans="1:11" x14ac:dyDescent="0.25">
      <c r="A32" s="3">
        <v>25</v>
      </c>
      <c r="B32" s="14" t="s">
        <v>41</v>
      </c>
      <c r="C32" s="15" t="str">
        <f>"1-DUSJN/15-1"</f>
        <v>1-DUSJN/15-1</v>
      </c>
      <c r="D32" s="15" t="str">
        <f t="shared" si="0"/>
        <v>CAPRICORNO D.O.O.</v>
      </c>
      <c r="E32" s="16">
        <v>42142</v>
      </c>
      <c r="F32" s="16">
        <v>198236</v>
      </c>
      <c r="G32" s="13">
        <v>198236.79999999999</v>
      </c>
      <c r="H32" s="16">
        <v>198236</v>
      </c>
      <c r="I32" s="13">
        <v>46881.760000000002</v>
      </c>
      <c r="J32" s="13">
        <f t="shared" si="1"/>
        <v>58602.200000000004</v>
      </c>
      <c r="K32" s="6"/>
    </row>
    <row r="33" spans="1:11" ht="24" x14ac:dyDescent="0.25">
      <c r="A33" s="3">
        <v>26</v>
      </c>
      <c r="B33" s="14" t="s">
        <v>45</v>
      </c>
      <c r="C33" s="15" t="str">
        <f>"10/2013-1-U1"</f>
        <v>10/2013-1-U1</v>
      </c>
      <c r="D33" s="15" t="str">
        <f t="shared" si="0"/>
        <v>CAPRICORNO D.O.O.</v>
      </c>
      <c r="E33" s="16">
        <v>41778</v>
      </c>
      <c r="F33" s="16">
        <v>42511</v>
      </c>
      <c r="G33" s="13">
        <v>27604</v>
      </c>
      <c r="H33" s="16">
        <v>42511</v>
      </c>
      <c r="I33" s="13">
        <v>24682.28</v>
      </c>
      <c r="J33" s="13">
        <f t="shared" si="1"/>
        <v>30852.85</v>
      </c>
      <c r="K33" s="6"/>
    </row>
    <row r="34" spans="1:11" ht="24" x14ac:dyDescent="0.25">
      <c r="A34" s="3">
        <v>27</v>
      </c>
      <c r="B34" s="14" t="s">
        <v>42</v>
      </c>
      <c r="C34" s="15" t="str">
        <f>"SNUG-202-15-0034"</f>
        <v>SNUG-202-15-0034</v>
      </c>
      <c r="D34" s="15" t="str">
        <f t="shared" si="0"/>
        <v>CAPRICORNO D.O.O.</v>
      </c>
      <c r="E34" s="16">
        <v>42117</v>
      </c>
      <c r="F34" s="16">
        <v>42369</v>
      </c>
      <c r="G34" s="13">
        <v>104536.56</v>
      </c>
      <c r="H34" s="16">
        <v>42369</v>
      </c>
      <c r="I34" s="13">
        <v>103878.58</v>
      </c>
      <c r="J34" s="13">
        <f t="shared" si="1"/>
        <v>129848.22500000001</v>
      </c>
      <c r="K34" s="6"/>
    </row>
    <row r="35" spans="1:11" ht="24" x14ac:dyDescent="0.25">
      <c r="A35" s="3">
        <v>28</v>
      </c>
      <c r="B35" s="14" t="s">
        <v>42</v>
      </c>
      <c r="C35" s="15" t="str">
        <f>"SNUG-202-15-0053"</f>
        <v>SNUG-202-15-0053</v>
      </c>
      <c r="D35" s="15" t="str">
        <f t="shared" si="0"/>
        <v>CAPRICORNO D.O.O.</v>
      </c>
      <c r="E35" s="16">
        <v>42300</v>
      </c>
      <c r="F35" s="16">
        <v>42369</v>
      </c>
      <c r="G35" s="13">
        <v>120403</v>
      </c>
      <c r="H35" s="16">
        <v>42369</v>
      </c>
      <c r="I35" s="13">
        <v>120400.26</v>
      </c>
      <c r="J35" s="13">
        <f t="shared" si="1"/>
        <v>150500.32499999998</v>
      </c>
      <c r="K35" s="6"/>
    </row>
    <row r="36" spans="1:11" x14ac:dyDescent="0.25">
      <c r="A36" s="3">
        <v>29</v>
      </c>
      <c r="B36" s="14" t="s">
        <v>36</v>
      </c>
      <c r="C36" s="15" t="str">
        <f>"10/2013-1-93"</f>
        <v>10/2013-1-93</v>
      </c>
      <c r="D36" s="15" t="str">
        <f t="shared" si="0"/>
        <v>CAPRICORNO D.O.O.</v>
      </c>
      <c r="E36" s="16">
        <v>42060</v>
      </c>
      <c r="F36" s="16">
        <v>42455</v>
      </c>
      <c r="G36" s="13">
        <v>63890</v>
      </c>
      <c r="H36" s="16">
        <v>42455</v>
      </c>
      <c r="I36" s="23">
        <v>38855.699999999997</v>
      </c>
      <c r="J36" s="13">
        <f t="shared" si="1"/>
        <v>48569.625</v>
      </c>
      <c r="K36" s="6"/>
    </row>
    <row r="37" spans="1:11" x14ac:dyDescent="0.25">
      <c r="A37" s="3">
        <v>30</v>
      </c>
      <c r="B37" s="14" t="s">
        <v>46</v>
      </c>
      <c r="C37" s="15" t="str">
        <f>"10/2013-1-104"</f>
        <v>10/2013-1-104</v>
      </c>
      <c r="D37" s="15" t="str">
        <f t="shared" si="0"/>
        <v>CAPRICORNO D.O.O.</v>
      </c>
      <c r="E37" s="16">
        <v>42090</v>
      </c>
      <c r="F37" s="16">
        <v>42455</v>
      </c>
      <c r="G37" s="13">
        <v>18121.599999999999</v>
      </c>
      <c r="H37" s="16">
        <v>42455</v>
      </c>
      <c r="I37" s="13">
        <v>18121.599999999999</v>
      </c>
      <c r="J37" s="13">
        <f t="shared" si="1"/>
        <v>22652</v>
      </c>
      <c r="K37" s="6"/>
    </row>
    <row r="38" spans="1:11" ht="24" x14ac:dyDescent="0.25">
      <c r="A38" s="3">
        <v>31</v>
      </c>
      <c r="B38" s="14" t="s">
        <v>47</v>
      </c>
      <c r="C38" s="15" t="str">
        <f>"14/2015/R"</f>
        <v>14/2015/R</v>
      </c>
      <c r="D38" s="15" t="str">
        <f t="shared" si="0"/>
        <v>CAPRICORNO D.O.O.</v>
      </c>
      <c r="E38" s="16">
        <v>42041</v>
      </c>
      <c r="F38" s="22">
        <v>42041</v>
      </c>
      <c r="G38" s="13">
        <v>1605</v>
      </c>
      <c r="H38" s="22">
        <v>42041</v>
      </c>
      <c r="I38" s="13">
        <v>1605</v>
      </c>
      <c r="J38" s="13">
        <f t="shared" si="1"/>
        <v>2006.25</v>
      </c>
      <c r="K38" s="6"/>
    </row>
    <row r="39" spans="1:11" ht="24" x14ac:dyDescent="0.25">
      <c r="A39" s="3">
        <v>32</v>
      </c>
      <c r="B39" s="14" t="s">
        <v>47</v>
      </c>
      <c r="C39" s="15" t="str">
        <f>"40/2015/R"</f>
        <v>40/2015/R</v>
      </c>
      <c r="D39" s="15" t="str">
        <f t="shared" si="0"/>
        <v>CAPRICORNO D.O.O.</v>
      </c>
      <c r="E39" s="16">
        <v>42079</v>
      </c>
      <c r="F39" s="16">
        <v>42079</v>
      </c>
      <c r="G39" s="13">
        <v>1605</v>
      </c>
      <c r="H39" s="16">
        <v>42079</v>
      </c>
      <c r="I39" s="13">
        <v>1605</v>
      </c>
      <c r="J39" s="13">
        <f t="shared" si="1"/>
        <v>2006.25</v>
      </c>
      <c r="K39" s="6"/>
    </row>
    <row r="40" spans="1:11" ht="24" x14ac:dyDescent="0.25">
      <c r="A40" s="3">
        <v>33</v>
      </c>
      <c r="B40" s="14" t="s">
        <v>47</v>
      </c>
      <c r="C40" s="15" t="str">
        <f>"51/2015/R"</f>
        <v>51/2015/R</v>
      </c>
      <c r="D40" s="15" t="str">
        <f t="shared" si="0"/>
        <v>CAPRICORNO D.O.O.</v>
      </c>
      <c r="E40" s="16">
        <v>42123</v>
      </c>
      <c r="F40" s="16">
        <v>42123</v>
      </c>
      <c r="G40" s="13">
        <v>1605</v>
      </c>
      <c r="H40" s="16">
        <v>42123</v>
      </c>
      <c r="I40" s="13">
        <v>1605</v>
      </c>
      <c r="J40" s="13">
        <f t="shared" si="1"/>
        <v>2006.25</v>
      </c>
      <c r="K40" s="6"/>
    </row>
    <row r="41" spans="1:11" ht="24" x14ac:dyDescent="0.25">
      <c r="A41" s="3">
        <v>34</v>
      </c>
      <c r="B41" s="14" t="s">
        <v>47</v>
      </c>
      <c r="C41" s="15" t="str">
        <f>"64/2015/R"</f>
        <v>64/2015/R</v>
      </c>
      <c r="D41" s="15" t="str">
        <f t="shared" si="0"/>
        <v>CAPRICORNO D.O.O.</v>
      </c>
      <c r="E41" s="16">
        <v>42164</v>
      </c>
      <c r="F41" s="16">
        <v>42164</v>
      </c>
      <c r="G41" s="13">
        <v>3210</v>
      </c>
      <c r="H41" s="16">
        <v>42164</v>
      </c>
      <c r="I41" s="13">
        <v>3210</v>
      </c>
      <c r="J41" s="13">
        <f t="shared" si="1"/>
        <v>4012.5</v>
      </c>
      <c r="K41" s="6"/>
    </row>
    <row r="42" spans="1:11" ht="24" x14ac:dyDescent="0.25">
      <c r="A42" s="3">
        <v>35</v>
      </c>
      <c r="B42" s="25" t="s">
        <v>47</v>
      </c>
      <c r="C42" s="26" t="str">
        <f>"84/2015/R"</f>
        <v>84/2015/R</v>
      </c>
      <c r="D42" s="26" t="str">
        <f t="shared" si="0"/>
        <v>CAPRICORNO D.O.O.</v>
      </c>
      <c r="E42" s="27">
        <v>42247</v>
      </c>
      <c r="F42" s="27">
        <v>42247</v>
      </c>
      <c r="G42" s="28">
        <v>3210</v>
      </c>
      <c r="H42" s="27">
        <v>42247</v>
      </c>
      <c r="I42" s="28">
        <v>3210</v>
      </c>
      <c r="J42" s="13">
        <f t="shared" si="1"/>
        <v>4012.5</v>
      </c>
      <c r="K42" s="29"/>
    </row>
    <row r="43" spans="1:11" ht="24" x14ac:dyDescent="0.25">
      <c r="A43" s="3">
        <v>36</v>
      </c>
      <c r="B43" s="9" t="s">
        <v>47</v>
      </c>
      <c r="C43" s="10" t="str">
        <f>"95/A/2015/R"</f>
        <v>95/A/2015/R</v>
      </c>
      <c r="D43" s="10" t="str">
        <f t="shared" si="0"/>
        <v>CAPRICORNO D.O.O.</v>
      </c>
      <c r="E43" s="11">
        <v>42289</v>
      </c>
      <c r="F43" s="11">
        <v>42289</v>
      </c>
      <c r="G43" s="8">
        <v>2260</v>
      </c>
      <c r="H43" s="11">
        <v>42289</v>
      </c>
      <c r="I43" s="8">
        <v>2260</v>
      </c>
      <c r="J43" s="13">
        <f t="shared" si="1"/>
        <v>2825</v>
      </c>
      <c r="K43" s="6"/>
    </row>
    <row r="44" spans="1:11" ht="24" x14ac:dyDescent="0.25">
      <c r="A44" s="3">
        <v>37</v>
      </c>
      <c r="B44" s="9" t="s">
        <v>47</v>
      </c>
      <c r="C44" s="10" t="str">
        <f>"112/2015/R"</f>
        <v>112/2015/R</v>
      </c>
      <c r="D44" s="10" t="str">
        <f t="shared" si="0"/>
        <v>CAPRICORNO D.O.O.</v>
      </c>
      <c r="E44" s="11">
        <v>42327</v>
      </c>
      <c r="F44" s="11">
        <v>42327</v>
      </c>
      <c r="G44" s="8">
        <v>3210</v>
      </c>
      <c r="H44" s="11">
        <v>42327</v>
      </c>
      <c r="I44" s="8">
        <v>3210</v>
      </c>
      <c r="J44" s="13">
        <f t="shared" si="1"/>
        <v>4012.5</v>
      </c>
      <c r="K44" s="6"/>
    </row>
    <row r="45" spans="1:11" ht="24" x14ac:dyDescent="0.25">
      <c r="A45" s="3">
        <v>38</v>
      </c>
      <c r="B45" s="9" t="s">
        <v>45</v>
      </c>
      <c r="C45" s="10" t="str">
        <f>"10/2013-1-U2"</f>
        <v>10/2013-1-U2</v>
      </c>
      <c r="D45" s="10" t="str">
        <f t="shared" si="0"/>
        <v>CAPRICORNO D.O.O.</v>
      </c>
      <c r="E45" s="11">
        <v>42145</v>
      </c>
      <c r="F45" s="12"/>
      <c r="G45" s="8">
        <v>38974</v>
      </c>
      <c r="H45" s="12"/>
      <c r="I45" s="8">
        <v>12319.5</v>
      </c>
      <c r="J45" s="13">
        <f t="shared" si="1"/>
        <v>15399.375</v>
      </c>
      <c r="K45" s="6"/>
    </row>
    <row r="46" spans="1:11" ht="24" x14ac:dyDescent="0.25">
      <c r="A46" s="3">
        <v>39</v>
      </c>
      <c r="B46" s="9" t="s">
        <v>48</v>
      </c>
      <c r="C46" s="10" t="str">
        <f>"207/2015"</f>
        <v>207/2015</v>
      </c>
      <c r="D46" s="10" t="str">
        <f t="shared" si="0"/>
        <v>CAPRICORNO D.O.O.</v>
      </c>
      <c r="E46" s="11">
        <v>42312</v>
      </c>
      <c r="F46" s="12"/>
      <c r="G46" s="30">
        <v>37.5</v>
      </c>
      <c r="H46" s="12"/>
      <c r="I46" s="30">
        <v>37.5</v>
      </c>
      <c r="J46" s="13">
        <f t="shared" si="1"/>
        <v>46.875</v>
      </c>
      <c r="K46" s="6"/>
    </row>
    <row r="47" spans="1:11" x14ac:dyDescent="0.25">
      <c r="A47" s="3">
        <v>40</v>
      </c>
      <c r="B47" s="9" t="s">
        <v>49</v>
      </c>
      <c r="C47" s="10" t="str">
        <f>"57/2015"</f>
        <v>57/2015</v>
      </c>
      <c r="D47" s="10" t="str">
        <f t="shared" si="0"/>
        <v>CAPRICORNO D.O.O.</v>
      </c>
      <c r="E47" s="11">
        <v>42027</v>
      </c>
      <c r="F47" s="12"/>
      <c r="G47" s="8">
        <v>1705</v>
      </c>
      <c r="H47" s="12"/>
      <c r="I47" s="8">
        <v>1705</v>
      </c>
      <c r="J47" s="13">
        <f t="shared" si="1"/>
        <v>2131.25</v>
      </c>
      <c r="K47" s="6"/>
    </row>
    <row r="48" spans="1:11" x14ac:dyDescent="0.25">
      <c r="A48" s="3">
        <v>41</v>
      </c>
      <c r="B48" s="9" t="s">
        <v>42</v>
      </c>
      <c r="C48" s="10" t="str">
        <f>"NND-202-15-101"</f>
        <v>NND-202-15-101</v>
      </c>
      <c r="D48" s="10" t="str">
        <f t="shared" si="0"/>
        <v>CAPRICORNO D.O.O.</v>
      </c>
      <c r="E48" s="11">
        <v>42138</v>
      </c>
      <c r="F48" s="11">
        <v>42144</v>
      </c>
      <c r="G48" s="30">
        <v>136</v>
      </c>
      <c r="H48" s="11">
        <v>42144</v>
      </c>
      <c r="I48" s="30">
        <v>136</v>
      </c>
      <c r="J48" s="13">
        <f t="shared" si="1"/>
        <v>170</v>
      </c>
      <c r="K48" s="6"/>
    </row>
    <row r="49" spans="1:11" x14ac:dyDescent="0.25">
      <c r="A49" s="3">
        <v>42</v>
      </c>
      <c r="B49" s="9" t="s">
        <v>26</v>
      </c>
      <c r="C49" s="10" t="str">
        <f>"07/2015"</f>
        <v>07/2015</v>
      </c>
      <c r="D49" s="10" t="str">
        <f t="shared" si="0"/>
        <v>CAPRICORNO D.O.O.</v>
      </c>
      <c r="E49" s="11">
        <v>42013</v>
      </c>
      <c r="F49" s="12"/>
      <c r="G49" s="8">
        <v>24660</v>
      </c>
      <c r="H49" s="12"/>
      <c r="I49" s="8">
        <v>22135</v>
      </c>
      <c r="J49" s="13">
        <f t="shared" si="1"/>
        <v>27668.75</v>
      </c>
      <c r="K49" s="6"/>
    </row>
    <row r="50" spans="1:11" x14ac:dyDescent="0.25">
      <c r="A50" s="3">
        <v>43</v>
      </c>
      <c r="B50" s="9" t="s">
        <v>42</v>
      </c>
      <c r="C50" s="10" t="str">
        <f>"NND-202-15-157"</f>
        <v>NND-202-15-157</v>
      </c>
      <c r="D50" s="10" t="str">
        <f t="shared" si="0"/>
        <v>CAPRICORNO D.O.O.</v>
      </c>
      <c r="E50" s="11">
        <v>42193</v>
      </c>
      <c r="F50" s="12"/>
      <c r="G50" s="30">
        <v>306</v>
      </c>
      <c r="H50" s="12"/>
      <c r="I50" s="30">
        <v>306</v>
      </c>
      <c r="J50" s="13">
        <f t="shared" si="1"/>
        <v>382.5</v>
      </c>
      <c r="K50" s="6"/>
    </row>
    <row r="51" spans="1:11" x14ac:dyDescent="0.25">
      <c r="A51" s="3">
        <v>44</v>
      </c>
      <c r="B51" s="9" t="s">
        <v>35</v>
      </c>
      <c r="C51" s="10" t="str">
        <f>"10/2013-1-106"</f>
        <v>10/2013-1-106</v>
      </c>
      <c r="D51" s="10" t="str">
        <f t="shared" si="0"/>
        <v>CAPRICORNO D.O.O.</v>
      </c>
      <c r="E51" s="11">
        <v>42138</v>
      </c>
      <c r="F51" s="11">
        <v>42455</v>
      </c>
      <c r="G51" s="8">
        <v>90975</v>
      </c>
      <c r="H51" s="11">
        <v>42455</v>
      </c>
      <c r="I51" s="8">
        <v>65554.77</v>
      </c>
      <c r="J51" s="13">
        <f t="shared" si="1"/>
        <v>81943.462500000009</v>
      </c>
      <c r="K51" s="6"/>
    </row>
    <row r="52" spans="1:11" ht="24" x14ac:dyDescent="0.25">
      <c r="A52" s="3">
        <v>45</v>
      </c>
      <c r="B52" s="9" t="s">
        <v>50</v>
      </c>
      <c r="C52" s="10" t="str">
        <f>"78-2015"</f>
        <v>78-2015</v>
      </c>
      <c r="D52" s="10" t="str">
        <f t="shared" si="0"/>
        <v>CAPRICORNO D.O.O.</v>
      </c>
      <c r="E52" s="11">
        <v>42104</v>
      </c>
      <c r="F52" s="11">
        <v>42321</v>
      </c>
      <c r="G52" s="8">
        <v>2105</v>
      </c>
      <c r="H52" s="11">
        <v>42321</v>
      </c>
      <c r="I52" s="8">
        <v>2105</v>
      </c>
      <c r="J52" s="13">
        <f t="shared" si="1"/>
        <v>2631.25</v>
      </c>
      <c r="K52" s="6"/>
    </row>
    <row r="53" spans="1:11" x14ac:dyDescent="0.25">
      <c r="A53" s="3">
        <v>46</v>
      </c>
      <c r="B53" s="9" t="s">
        <v>51</v>
      </c>
      <c r="C53" s="10" t="str">
        <f>"33 DO 3030"</f>
        <v>33 DO 3030</v>
      </c>
      <c r="D53" s="10" t="str">
        <f t="shared" si="0"/>
        <v>CAPRICORNO D.O.O.</v>
      </c>
      <c r="E53" s="11">
        <v>42013</v>
      </c>
      <c r="F53" s="11">
        <v>42361</v>
      </c>
      <c r="G53" s="8">
        <v>183283.3</v>
      </c>
      <c r="H53" s="11">
        <v>42361</v>
      </c>
      <c r="I53" s="8">
        <v>183283.3</v>
      </c>
      <c r="J53" s="13">
        <f t="shared" si="1"/>
        <v>229104.125</v>
      </c>
      <c r="K53" s="6"/>
    </row>
    <row r="54" spans="1:11" ht="24" x14ac:dyDescent="0.25">
      <c r="A54" s="3">
        <v>47</v>
      </c>
      <c r="B54" s="9" t="s">
        <v>52</v>
      </c>
      <c r="C54" s="10" t="str">
        <f>"10/2013-DUSJN"</f>
        <v>10/2013-DUSJN</v>
      </c>
      <c r="D54" s="10" t="str">
        <f t="shared" si="0"/>
        <v>CAPRICORNO D.O.O.</v>
      </c>
      <c r="E54" s="11">
        <v>42005</v>
      </c>
      <c r="F54" s="11">
        <v>42369</v>
      </c>
      <c r="G54" s="8">
        <v>1974.7</v>
      </c>
      <c r="H54" s="11">
        <v>42369</v>
      </c>
      <c r="I54" s="8">
        <v>1974.7</v>
      </c>
      <c r="J54" s="13">
        <f t="shared" si="1"/>
        <v>2468.375</v>
      </c>
      <c r="K54" s="6"/>
    </row>
    <row r="55" spans="1:11" x14ac:dyDescent="0.25">
      <c r="A55" s="3">
        <v>48</v>
      </c>
      <c r="B55" s="9" t="s">
        <v>53</v>
      </c>
      <c r="C55" s="10" t="str">
        <f>"10/2013-1-MB"</f>
        <v>10/2013-1-MB</v>
      </c>
      <c r="D55" s="10" t="str">
        <f t="shared" si="0"/>
        <v>CAPRICORNO D.O.O.</v>
      </c>
      <c r="E55" s="11">
        <v>42005</v>
      </c>
      <c r="F55" s="11">
        <v>42455</v>
      </c>
      <c r="G55" s="8">
        <v>34361.47</v>
      </c>
      <c r="H55" s="11">
        <v>42455</v>
      </c>
      <c r="I55" s="8">
        <v>34361.47</v>
      </c>
      <c r="J55" s="13">
        <f t="shared" si="1"/>
        <v>42951.837500000001</v>
      </c>
      <c r="K55" s="6"/>
    </row>
    <row r="56" spans="1:11" x14ac:dyDescent="0.25">
      <c r="A56" s="3">
        <v>49</v>
      </c>
      <c r="B56" s="9" t="s">
        <v>54</v>
      </c>
      <c r="C56" s="10" t="str">
        <f>"10/2013-1-14/21"</f>
        <v>10/2013-1-14/21</v>
      </c>
      <c r="D56" s="10" t="str">
        <f t="shared" si="0"/>
        <v>CAPRICORNO D.O.O.</v>
      </c>
      <c r="E56" s="11">
        <v>41971</v>
      </c>
      <c r="F56" s="11">
        <v>42369</v>
      </c>
      <c r="G56" s="8">
        <v>73034</v>
      </c>
      <c r="H56" s="11">
        <v>42369</v>
      </c>
      <c r="I56" s="8">
        <v>72581.84</v>
      </c>
      <c r="J56" s="13">
        <f t="shared" si="1"/>
        <v>90727.299999999988</v>
      </c>
      <c r="K56" s="6"/>
    </row>
    <row r="57" spans="1:11" ht="24" x14ac:dyDescent="0.25">
      <c r="A57" s="3">
        <v>50</v>
      </c>
      <c r="B57" s="9" t="s">
        <v>55</v>
      </c>
      <c r="C57" s="10" t="str">
        <f>"35-54-14-1"</f>
        <v>35-54-14-1</v>
      </c>
      <c r="D57" s="10" t="str">
        <f t="shared" si="0"/>
        <v>CAPRICORNO D.O.O.</v>
      </c>
      <c r="E57" s="11">
        <v>41764</v>
      </c>
      <c r="F57" s="11">
        <v>42455</v>
      </c>
      <c r="G57" s="8">
        <v>120000</v>
      </c>
      <c r="H57" s="11">
        <v>42455</v>
      </c>
      <c r="I57" s="8">
        <v>73111.460000000006</v>
      </c>
      <c r="J57" s="13">
        <f t="shared" si="1"/>
        <v>91389.325000000012</v>
      </c>
      <c r="K57" s="6"/>
    </row>
    <row r="58" spans="1:11" ht="7.5" customHeight="1" x14ac:dyDescent="0.25"/>
    <row r="59" spans="1:11" ht="42" customHeight="1" x14ac:dyDescent="0.25">
      <c r="A59" s="1" t="s">
        <v>0</v>
      </c>
      <c r="B59" s="2" t="s">
        <v>1</v>
      </c>
      <c r="C59" s="2" t="s">
        <v>6</v>
      </c>
      <c r="D59" s="2" t="s">
        <v>2</v>
      </c>
      <c r="E59" s="2" t="s">
        <v>3</v>
      </c>
      <c r="F59" s="2" t="s">
        <v>7</v>
      </c>
      <c r="G59" s="2" t="s">
        <v>8</v>
      </c>
      <c r="H59" s="2" t="s">
        <v>4</v>
      </c>
      <c r="I59" s="2" t="s">
        <v>5</v>
      </c>
    </row>
    <row r="60" spans="1:11" x14ac:dyDescent="0.25">
      <c r="A60" s="3">
        <v>1</v>
      </c>
      <c r="B60" s="6" t="s">
        <v>56</v>
      </c>
      <c r="C60" s="3" t="s">
        <v>57</v>
      </c>
      <c r="D60" s="3" t="s">
        <v>694</v>
      </c>
      <c r="E60" s="3" t="s">
        <v>24</v>
      </c>
      <c r="F60" s="21">
        <v>41605</v>
      </c>
      <c r="G60" s="3" t="s">
        <v>659</v>
      </c>
      <c r="H60" s="8">
        <v>1600000</v>
      </c>
      <c r="I60" s="8">
        <v>1224000</v>
      </c>
    </row>
    <row r="61" spans="1:11" x14ac:dyDescent="0.25">
      <c r="A61" s="42" t="s">
        <v>706</v>
      </c>
      <c r="B61" s="43"/>
      <c r="C61" s="43"/>
      <c r="D61" s="43"/>
      <c r="E61" s="43"/>
      <c r="F61" s="43"/>
      <c r="G61" s="43"/>
      <c r="H61" s="44"/>
      <c r="I61" s="8">
        <v>2898860.54</v>
      </c>
    </row>
    <row r="62" spans="1:11" ht="7.5" customHeight="1" x14ac:dyDescent="0.25"/>
    <row r="63" spans="1:11" x14ac:dyDescent="0.25">
      <c r="A63" s="46" t="s">
        <v>20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63.75" customHeight="1" x14ac:dyDescent="0.25">
      <c r="A64" s="4" t="s">
        <v>0</v>
      </c>
      <c r="B64" s="5" t="s">
        <v>10</v>
      </c>
      <c r="C64" s="5" t="s">
        <v>9</v>
      </c>
      <c r="D64" s="5" t="s">
        <v>13</v>
      </c>
      <c r="E64" s="5" t="s">
        <v>12</v>
      </c>
      <c r="F64" s="5" t="s">
        <v>11</v>
      </c>
      <c r="G64" s="5" t="s">
        <v>18</v>
      </c>
      <c r="H64" s="5" t="s">
        <v>14</v>
      </c>
      <c r="I64" s="5" t="s">
        <v>15</v>
      </c>
      <c r="J64" s="5" t="s">
        <v>16</v>
      </c>
      <c r="K64" s="5" t="s">
        <v>17</v>
      </c>
    </row>
    <row r="65" spans="1:11" ht="24" x14ac:dyDescent="0.25">
      <c r="A65" s="3">
        <v>1</v>
      </c>
      <c r="B65" s="9" t="s">
        <v>58</v>
      </c>
      <c r="C65" s="10" t="str">
        <f>"10/2013-2-23"</f>
        <v>10/2013-2-23</v>
      </c>
      <c r="D65" s="10" t="str">
        <f t="shared" ref="D65:D87" si="2">CONCATENATE("CAPRICORNO D.O.O.")</f>
        <v>CAPRICORNO D.O.O.</v>
      </c>
      <c r="E65" s="11">
        <v>41677</v>
      </c>
      <c r="F65" s="11">
        <v>42042</v>
      </c>
      <c r="G65" s="8">
        <v>71660.399999999994</v>
      </c>
      <c r="H65" s="11">
        <v>42042</v>
      </c>
      <c r="I65" s="8">
        <v>0</v>
      </c>
      <c r="J65" s="13">
        <f>I65*1.25</f>
        <v>0</v>
      </c>
      <c r="K65" s="6"/>
    </row>
    <row r="66" spans="1:11" ht="24" x14ac:dyDescent="0.25">
      <c r="A66" s="3">
        <v>2</v>
      </c>
      <c r="B66" s="9" t="s">
        <v>27</v>
      </c>
      <c r="C66" s="10" t="str">
        <f>"84850/2-13"</f>
        <v>84850/2-13</v>
      </c>
      <c r="D66" s="10" t="str">
        <f t="shared" si="2"/>
        <v>CAPRICORNO D.O.O.</v>
      </c>
      <c r="E66" s="11">
        <v>41617</v>
      </c>
      <c r="F66" s="11"/>
      <c r="G66" s="8">
        <v>1079844.5</v>
      </c>
      <c r="H66" s="11"/>
      <c r="I66" s="8">
        <v>1079844.5</v>
      </c>
      <c r="J66" s="13">
        <f t="shared" ref="J66:J87" si="3">I66*1.25</f>
        <v>1349805.625</v>
      </c>
      <c r="K66" s="6"/>
    </row>
    <row r="67" spans="1:11" ht="36" x14ac:dyDescent="0.25">
      <c r="A67" s="3">
        <v>3</v>
      </c>
      <c r="B67" s="9" t="s">
        <v>59</v>
      </c>
      <c r="C67" s="10" t="str">
        <f>"000635/2014"</f>
        <v>000635/2014</v>
      </c>
      <c r="D67" s="10" t="str">
        <f t="shared" si="2"/>
        <v>CAPRICORNO D.O.O.</v>
      </c>
      <c r="E67" s="11">
        <v>41976</v>
      </c>
      <c r="F67" s="11"/>
      <c r="G67" s="8">
        <v>38345</v>
      </c>
      <c r="H67" s="11"/>
      <c r="I67" s="8">
        <v>29568.639999999999</v>
      </c>
      <c r="J67" s="13">
        <f t="shared" si="3"/>
        <v>36960.800000000003</v>
      </c>
      <c r="K67" s="6"/>
    </row>
    <row r="68" spans="1:11" ht="36" x14ac:dyDescent="0.25">
      <c r="A68" s="3">
        <v>4</v>
      </c>
      <c r="B68" s="9" t="s">
        <v>34</v>
      </c>
      <c r="C68" s="10" t="str">
        <f>"NAR/2015-GRUPA 2"</f>
        <v>NAR/2015-GRUPA 2</v>
      </c>
      <c r="D68" s="10" t="str">
        <f t="shared" si="2"/>
        <v>CAPRICORNO D.O.O.</v>
      </c>
      <c r="E68" s="11">
        <v>42005</v>
      </c>
      <c r="F68" s="11">
        <v>42369</v>
      </c>
      <c r="G68" s="8">
        <v>11516</v>
      </c>
      <c r="H68" s="11">
        <v>42369</v>
      </c>
      <c r="I68" s="8">
        <v>11516</v>
      </c>
      <c r="J68" s="13">
        <f t="shared" si="3"/>
        <v>14395</v>
      </c>
      <c r="K68" s="6"/>
    </row>
    <row r="69" spans="1:11" ht="24" x14ac:dyDescent="0.25">
      <c r="A69" s="3">
        <v>5</v>
      </c>
      <c r="B69" s="9" t="s">
        <v>58</v>
      </c>
      <c r="C69" s="10" t="str">
        <f>"10/2013-2-92"</f>
        <v>10/2013-2-92</v>
      </c>
      <c r="D69" s="10" t="str">
        <f t="shared" si="2"/>
        <v>CAPRICORNO D.O.O.</v>
      </c>
      <c r="E69" s="11">
        <v>42043</v>
      </c>
      <c r="F69" s="11">
        <v>42335</v>
      </c>
      <c r="G69" s="8">
        <v>71660.399999999994</v>
      </c>
      <c r="H69" s="11">
        <v>42335</v>
      </c>
      <c r="I69" s="8">
        <v>59108.4</v>
      </c>
      <c r="J69" s="13">
        <f t="shared" si="3"/>
        <v>73885.5</v>
      </c>
      <c r="K69" s="6"/>
    </row>
    <row r="70" spans="1:11" ht="36" x14ac:dyDescent="0.25">
      <c r="A70" s="3">
        <v>6</v>
      </c>
      <c r="B70" s="9" t="s">
        <v>59</v>
      </c>
      <c r="C70" s="10" t="str">
        <f>"10/2013-2-114"</f>
        <v>10/2013-2-114</v>
      </c>
      <c r="D70" s="10" t="str">
        <f t="shared" si="2"/>
        <v>CAPRICORNO D.O.O.</v>
      </c>
      <c r="E70" s="11">
        <v>41708</v>
      </c>
      <c r="F70" s="11">
        <v>42508</v>
      </c>
      <c r="G70" s="8">
        <v>42905</v>
      </c>
      <c r="H70" s="11">
        <v>42508</v>
      </c>
      <c r="I70" s="8">
        <v>0</v>
      </c>
      <c r="J70" s="13">
        <f t="shared" si="3"/>
        <v>0</v>
      </c>
      <c r="K70" s="6"/>
    </row>
    <row r="71" spans="1:11" x14ac:dyDescent="0.25">
      <c r="A71" s="3">
        <v>7</v>
      </c>
      <c r="B71" s="9" t="s">
        <v>44</v>
      </c>
      <c r="C71" s="10" t="str">
        <f>"10/2013-2-3"</f>
        <v>10/2013-2-3</v>
      </c>
      <c r="D71" s="10" t="str">
        <f t="shared" si="2"/>
        <v>CAPRICORNO D.O.O.</v>
      </c>
      <c r="E71" s="11">
        <v>41654</v>
      </c>
      <c r="F71" s="11">
        <v>42335</v>
      </c>
      <c r="G71" s="8">
        <v>1095250</v>
      </c>
      <c r="H71" s="11">
        <v>42335</v>
      </c>
      <c r="I71" s="8">
        <v>1208364</v>
      </c>
      <c r="J71" s="13">
        <f t="shared" si="3"/>
        <v>1510455</v>
      </c>
      <c r="K71" s="6"/>
    </row>
    <row r="72" spans="1:11" x14ac:dyDescent="0.25">
      <c r="A72" s="3">
        <v>8</v>
      </c>
      <c r="B72" s="9" t="s">
        <v>41</v>
      </c>
      <c r="C72" s="10" t="str">
        <f>"1/14-DUSJN"</f>
        <v>1/14-DUSJN</v>
      </c>
      <c r="D72" s="10" t="str">
        <f t="shared" si="2"/>
        <v>CAPRICORNO D.O.O.</v>
      </c>
      <c r="E72" s="11">
        <v>41655</v>
      </c>
      <c r="F72" s="11">
        <v>42020</v>
      </c>
      <c r="G72" s="8">
        <v>58900</v>
      </c>
      <c r="H72" s="11">
        <v>42020</v>
      </c>
      <c r="I72" s="8">
        <v>16598.400000000001</v>
      </c>
      <c r="J72" s="13">
        <f t="shared" si="3"/>
        <v>20748</v>
      </c>
      <c r="K72" s="6"/>
    </row>
    <row r="73" spans="1:11" x14ac:dyDescent="0.25">
      <c r="A73" s="3">
        <v>9</v>
      </c>
      <c r="B73" s="9" t="s">
        <v>41</v>
      </c>
      <c r="C73" s="10" t="str">
        <f>"1/15-DUSJN"</f>
        <v>1/15-DUSJN</v>
      </c>
      <c r="D73" s="10" t="str">
        <f t="shared" si="2"/>
        <v>CAPRICORNO D.O.O.</v>
      </c>
      <c r="E73" s="11">
        <v>42021</v>
      </c>
      <c r="F73" s="11">
        <v>42386</v>
      </c>
      <c r="G73" s="8">
        <v>38000</v>
      </c>
      <c r="H73" s="11">
        <v>42386</v>
      </c>
      <c r="I73" s="8">
        <v>20550.400000000001</v>
      </c>
      <c r="J73" s="13">
        <f t="shared" si="3"/>
        <v>25688</v>
      </c>
      <c r="K73" s="6"/>
    </row>
    <row r="74" spans="1:11" x14ac:dyDescent="0.25">
      <c r="A74" s="3">
        <v>10</v>
      </c>
      <c r="B74" s="9" t="s">
        <v>33</v>
      </c>
      <c r="C74" s="10" t="str">
        <f>"10/2013-2-43"</f>
        <v>10/2013-2-43</v>
      </c>
      <c r="D74" s="10" t="str">
        <f t="shared" si="2"/>
        <v>CAPRICORNO D.O.O.</v>
      </c>
      <c r="E74" s="11">
        <v>41746</v>
      </c>
      <c r="F74" s="11">
        <v>42111</v>
      </c>
      <c r="G74" s="8">
        <v>75200</v>
      </c>
      <c r="H74" s="11">
        <v>42111</v>
      </c>
      <c r="I74" s="8">
        <v>95469.1</v>
      </c>
      <c r="J74" s="13">
        <f t="shared" si="3"/>
        <v>119336.375</v>
      </c>
      <c r="K74" s="6"/>
    </row>
    <row r="75" spans="1:11" x14ac:dyDescent="0.25">
      <c r="A75" s="3">
        <v>11</v>
      </c>
      <c r="B75" s="9" t="s">
        <v>60</v>
      </c>
      <c r="C75" s="10" t="str">
        <f>"10/2013-2-7"</f>
        <v>10/2013-2-7</v>
      </c>
      <c r="D75" s="10" t="str">
        <f t="shared" si="2"/>
        <v>CAPRICORNO D.O.O.</v>
      </c>
      <c r="E75" s="11">
        <v>41628</v>
      </c>
      <c r="F75" s="11">
        <v>42358</v>
      </c>
      <c r="G75" s="8">
        <v>39712</v>
      </c>
      <c r="H75" s="11">
        <v>42358</v>
      </c>
      <c r="I75" s="8">
        <v>7172.4</v>
      </c>
      <c r="J75" s="13">
        <f t="shared" si="3"/>
        <v>8965.5</v>
      </c>
      <c r="K75" s="6"/>
    </row>
    <row r="76" spans="1:11" x14ac:dyDescent="0.25">
      <c r="A76" s="3">
        <v>12</v>
      </c>
      <c r="B76" s="9" t="s">
        <v>29</v>
      </c>
      <c r="C76" s="10" t="str">
        <f>"10/2013-2-16"</f>
        <v>10/2013-2-16</v>
      </c>
      <c r="D76" s="10" t="str">
        <f t="shared" si="2"/>
        <v>CAPRICORNO D.O.O.</v>
      </c>
      <c r="E76" s="11">
        <v>41691</v>
      </c>
      <c r="F76" s="11">
        <v>42335</v>
      </c>
      <c r="G76" s="8">
        <v>220170</v>
      </c>
      <c r="H76" s="11">
        <v>42335</v>
      </c>
      <c r="I76" s="8">
        <v>165480</v>
      </c>
      <c r="J76" s="13">
        <f t="shared" si="3"/>
        <v>206850</v>
      </c>
      <c r="K76" s="6"/>
    </row>
    <row r="77" spans="1:11" ht="24" x14ac:dyDescent="0.25">
      <c r="A77" s="3">
        <v>13</v>
      </c>
      <c r="B77" s="9" t="s">
        <v>47</v>
      </c>
      <c r="C77" s="10" t="str">
        <f>"41/2015/R"</f>
        <v>41/2015/R</v>
      </c>
      <c r="D77" s="10" t="str">
        <f t="shared" si="2"/>
        <v>CAPRICORNO D.O.O.</v>
      </c>
      <c r="E77" s="11">
        <v>42079</v>
      </c>
      <c r="F77" s="11"/>
      <c r="G77" s="8">
        <v>190</v>
      </c>
      <c r="H77" s="11"/>
      <c r="I77" s="8">
        <v>190</v>
      </c>
      <c r="J77" s="13">
        <f t="shared" si="3"/>
        <v>237.5</v>
      </c>
      <c r="K77" s="6"/>
    </row>
    <row r="78" spans="1:11" ht="24" x14ac:dyDescent="0.25">
      <c r="A78" s="3">
        <v>14</v>
      </c>
      <c r="B78" s="9" t="s">
        <v>47</v>
      </c>
      <c r="C78" s="10" t="str">
        <f>"52/2015/R"</f>
        <v>52/2015/R</v>
      </c>
      <c r="D78" s="10" t="str">
        <f t="shared" si="2"/>
        <v>CAPRICORNO D.O.O.</v>
      </c>
      <c r="E78" s="11">
        <v>42123</v>
      </c>
      <c r="F78" s="11"/>
      <c r="G78" s="8">
        <v>190</v>
      </c>
      <c r="H78" s="11"/>
      <c r="I78" s="8">
        <v>190</v>
      </c>
      <c r="J78" s="13">
        <f t="shared" si="3"/>
        <v>237.5</v>
      </c>
      <c r="K78" s="6"/>
    </row>
    <row r="79" spans="1:11" ht="24" x14ac:dyDescent="0.25">
      <c r="A79" s="3">
        <v>15</v>
      </c>
      <c r="B79" s="9" t="s">
        <v>47</v>
      </c>
      <c r="C79" s="10" t="str">
        <f>"83/2015/R"</f>
        <v>83/2015/R</v>
      </c>
      <c r="D79" s="10" t="str">
        <f t="shared" si="2"/>
        <v>CAPRICORNO D.O.O.</v>
      </c>
      <c r="E79" s="11">
        <v>42226</v>
      </c>
      <c r="F79" s="11"/>
      <c r="G79" s="8">
        <v>190</v>
      </c>
      <c r="H79" s="11"/>
      <c r="I79" s="8">
        <v>190</v>
      </c>
      <c r="J79" s="13">
        <f t="shared" si="3"/>
        <v>237.5</v>
      </c>
      <c r="K79" s="6"/>
    </row>
    <row r="80" spans="1:11" ht="24" x14ac:dyDescent="0.25">
      <c r="A80" s="3">
        <v>16</v>
      </c>
      <c r="B80" s="9" t="s">
        <v>47</v>
      </c>
      <c r="C80" s="10" t="str">
        <f>"96/2015/R"</f>
        <v>96/2015/R</v>
      </c>
      <c r="D80" s="10" t="str">
        <f t="shared" si="2"/>
        <v>CAPRICORNO D.O.O.</v>
      </c>
      <c r="E80" s="11">
        <v>42289</v>
      </c>
      <c r="F80" s="11"/>
      <c r="G80" s="8">
        <v>285</v>
      </c>
      <c r="H80" s="11"/>
      <c r="I80" s="8">
        <v>285</v>
      </c>
      <c r="J80" s="13">
        <f t="shared" si="3"/>
        <v>356.25</v>
      </c>
      <c r="K80" s="6"/>
    </row>
    <row r="81" spans="1:11" ht="24" x14ac:dyDescent="0.25">
      <c r="A81" s="3">
        <v>17</v>
      </c>
      <c r="B81" s="9" t="s">
        <v>61</v>
      </c>
      <c r="C81" s="10" t="str">
        <f>"GRUPA 1 POTROŠNI"</f>
        <v>GRUPA 1 POTROŠNI</v>
      </c>
      <c r="D81" s="10" t="str">
        <f t="shared" si="2"/>
        <v>CAPRICORNO D.O.O.</v>
      </c>
      <c r="E81" s="11">
        <v>42005</v>
      </c>
      <c r="F81" s="11">
        <v>42369</v>
      </c>
      <c r="G81" s="8">
        <v>9402.5</v>
      </c>
      <c r="H81" s="11">
        <v>42369</v>
      </c>
      <c r="I81" s="8">
        <v>9402.5</v>
      </c>
      <c r="J81" s="13">
        <f t="shared" si="3"/>
        <v>11753.125</v>
      </c>
      <c r="K81" s="6"/>
    </row>
    <row r="82" spans="1:11" ht="24" x14ac:dyDescent="0.25">
      <c r="A82" s="3">
        <v>18</v>
      </c>
      <c r="B82" s="9" t="s">
        <v>31</v>
      </c>
      <c r="C82" s="10" t="str">
        <f>"NAR2015-VG2"</f>
        <v>NAR2015-VG2</v>
      </c>
      <c r="D82" s="10" t="str">
        <f t="shared" si="2"/>
        <v>CAPRICORNO D.O.O.</v>
      </c>
      <c r="E82" s="11">
        <v>42369</v>
      </c>
      <c r="F82" s="11"/>
      <c r="G82" s="8">
        <v>16740</v>
      </c>
      <c r="H82" s="11"/>
      <c r="I82" s="8">
        <v>16740</v>
      </c>
      <c r="J82" s="13">
        <f t="shared" si="3"/>
        <v>20925</v>
      </c>
      <c r="K82" s="6"/>
    </row>
    <row r="83" spans="1:11" ht="24" x14ac:dyDescent="0.25">
      <c r="A83" s="3">
        <v>19</v>
      </c>
      <c r="B83" s="9" t="s">
        <v>28</v>
      </c>
      <c r="C83" s="10" t="str">
        <f>"MGPU 10/2013-2"</f>
        <v>MGPU 10/2013-2</v>
      </c>
      <c r="D83" s="10" t="str">
        <f t="shared" si="2"/>
        <v>CAPRICORNO D.O.O.</v>
      </c>
      <c r="E83" s="11">
        <v>42144</v>
      </c>
      <c r="F83" s="11">
        <v>42335</v>
      </c>
      <c r="G83" s="8">
        <v>4000</v>
      </c>
      <c r="H83" s="11">
        <v>42335</v>
      </c>
      <c r="I83" s="8">
        <v>0</v>
      </c>
      <c r="J83" s="13">
        <f t="shared" si="3"/>
        <v>0</v>
      </c>
      <c r="K83" s="6"/>
    </row>
    <row r="84" spans="1:11" ht="24" x14ac:dyDescent="0.25">
      <c r="A84" s="3">
        <v>20</v>
      </c>
      <c r="B84" s="9" t="s">
        <v>50</v>
      </c>
      <c r="C84" s="10" t="str">
        <f>"79-2015"</f>
        <v>79-2015</v>
      </c>
      <c r="D84" s="10" t="str">
        <f t="shared" si="2"/>
        <v>CAPRICORNO D.O.O.</v>
      </c>
      <c r="E84" s="11">
        <v>42104</v>
      </c>
      <c r="F84" s="11">
        <v>42321</v>
      </c>
      <c r="G84" s="8">
        <v>2947.2</v>
      </c>
      <c r="H84" s="11">
        <v>42321</v>
      </c>
      <c r="I84" s="8">
        <v>2947.2</v>
      </c>
      <c r="J84" s="13">
        <f t="shared" si="3"/>
        <v>3684</v>
      </c>
      <c r="K84" s="6"/>
    </row>
    <row r="85" spans="1:11" ht="24" x14ac:dyDescent="0.25">
      <c r="A85" s="3">
        <v>21</v>
      </c>
      <c r="B85" s="9" t="s">
        <v>62</v>
      </c>
      <c r="C85" s="10" t="str">
        <f>"030-01/15-01/8"</f>
        <v>030-01/15-01/8</v>
      </c>
      <c r="D85" s="10" t="str">
        <f t="shared" si="2"/>
        <v>CAPRICORNO D.O.O.</v>
      </c>
      <c r="E85" s="11">
        <v>42048</v>
      </c>
      <c r="F85" s="11">
        <v>42335</v>
      </c>
      <c r="G85" s="8">
        <v>66200</v>
      </c>
      <c r="H85" s="11">
        <v>42335</v>
      </c>
      <c r="I85" s="8">
        <v>41824</v>
      </c>
      <c r="J85" s="13">
        <f t="shared" si="3"/>
        <v>52280</v>
      </c>
      <c r="K85" s="6"/>
    </row>
    <row r="86" spans="1:11" ht="24" x14ac:dyDescent="0.25">
      <c r="A86" s="3">
        <v>22</v>
      </c>
      <c r="B86" s="9" t="s">
        <v>62</v>
      </c>
      <c r="C86" s="10" t="str">
        <f>"10/2013-2-115"</f>
        <v>10/2013-2-115</v>
      </c>
      <c r="D86" s="10" t="str">
        <f t="shared" si="2"/>
        <v>CAPRICORNO D.O.O.</v>
      </c>
      <c r="E86" s="11">
        <v>41673</v>
      </c>
      <c r="F86" s="11">
        <v>42335</v>
      </c>
      <c r="G86" s="8">
        <v>66200</v>
      </c>
      <c r="H86" s="11">
        <v>42335</v>
      </c>
      <c r="I86" s="8">
        <v>41824</v>
      </c>
      <c r="J86" s="13">
        <f t="shared" si="3"/>
        <v>52280</v>
      </c>
      <c r="K86" s="6"/>
    </row>
    <row r="87" spans="1:11" x14ac:dyDescent="0.25">
      <c r="A87" s="3">
        <v>23</v>
      </c>
      <c r="B87" s="9" t="s">
        <v>51</v>
      </c>
      <c r="C87" s="10" t="str">
        <f>"34 DO 2854"</f>
        <v>34 DO 2854</v>
      </c>
      <c r="D87" s="10" t="str">
        <f t="shared" si="2"/>
        <v>CAPRICORNO D.O.O.</v>
      </c>
      <c r="E87" s="11">
        <v>42013</v>
      </c>
      <c r="F87" s="11">
        <v>42335</v>
      </c>
      <c r="G87" s="8">
        <v>91596</v>
      </c>
      <c r="H87" s="11">
        <v>42335</v>
      </c>
      <c r="I87" s="8">
        <v>91596</v>
      </c>
      <c r="J87" s="13">
        <f t="shared" si="3"/>
        <v>114495</v>
      </c>
      <c r="K87" s="6"/>
    </row>
    <row r="88" spans="1:11" ht="7.5" customHeight="1" x14ac:dyDescent="0.25"/>
    <row r="89" spans="1:11" ht="42" customHeight="1" x14ac:dyDescent="0.25">
      <c r="A89" s="1" t="s">
        <v>0</v>
      </c>
      <c r="B89" s="2" t="s">
        <v>1</v>
      </c>
      <c r="C89" s="2" t="s">
        <v>6</v>
      </c>
      <c r="D89" s="2" t="s">
        <v>2</v>
      </c>
      <c r="E89" s="2" t="s">
        <v>3</v>
      </c>
      <c r="F89" s="2" t="s">
        <v>7</v>
      </c>
      <c r="G89" s="2" t="s">
        <v>8</v>
      </c>
      <c r="H89" s="2" t="s">
        <v>4</v>
      </c>
      <c r="I89" s="2" t="s">
        <v>5</v>
      </c>
    </row>
    <row r="90" spans="1:11" x14ac:dyDescent="0.25">
      <c r="A90" s="3">
        <v>1</v>
      </c>
      <c r="B90" s="6" t="s">
        <v>63</v>
      </c>
      <c r="C90" s="3" t="s">
        <v>64</v>
      </c>
      <c r="D90" s="3" t="s">
        <v>694</v>
      </c>
      <c r="E90" s="3" t="s">
        <v>24</v>
      </c>
      <c r="F90" s="21">
        <v>41666</v>
      </c>
      <c r="G90" s="3" t="s">
        <v>659</v>
      </c>
      <c r="H90" s="8">
        <v>10000000</v>
      </c>
      <c r="I90" s="8">
        <v>10876637</v>
      </c>
    </row>
    <row r="91" spans="1:11" x14ac:dyDescent="0.25">
      <c r="A91" s="42" t="s">
        <v>706</v>
      </c>
      <c r="B91" s="43"/>
      <c r="C91" s="43"/>
      <c r="D91" s="43"/>
      <c r="E91" s="43"/>
      <c r="F91" s="43"/>
      <c r="G91" s="43"/>
      <c r="H91" s="44"/>
      <c r="I91" s="8">
        <v>3669747.25</v>
      </c>
    </row>
    <row r="92" spans="1:11" ht="7.5" customHeight="1" x14ac:dyDescent="0.25"/>
    <row r="93" spans="1:11" x14ac:dyDescent="0.25">
      <c r="A93" s="46" t="s">
        <v>20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63.75" customHeight="1" x14ac:dyDescent="0.25">
      <c r="A94" s="4" t="s">
        <v>0</v>
      </c>
      <c r="B94" s="5" t="s">
        <v>10</v>
      </c>
      <c r="C94" s="5" t="s">
        <v>9</v>
      </c>
      <c r="D94" s="5" t="s">
        <v>13</v>
      </c>
      <c r="E94" s="5" t="s">
        <v>12</v>
      </c>
      <c r="F94" s="5" t="s">
        <v>11</v>
      </c>
      <c r="G94" s="5" t="s">
        <v>18</v>
      </c>
      <c r="H94" s="5" t="s">
        <v>14</v>
      </c>
      <c r="I94" s="5" t="s">
        <v>15</v>
      </c>
      <c r="J94" s="5" t="s">
        <v>16</v>
      </c>
      <c r="K94" s="5" t="s">
        <v>17</v>
      </c>
    </row>
    <row r="95" spans="1:11" ht="48" x14ac:dyDescent="0.25">
      <c r="A95" s="3">
        <v>1</v>
      </c>
      <c r="B95" s="9" t="s">
        <v>49</v>
      </c>
      <c r="C95" s="10" t="str">
        <f>"225/2015"</f>
        <v>225/2015</v>
      </c>
      <c r="D95" s="10" t="str">
        <f t="shared" ref="D95:D134" si="4">CONCATENATE("1. Zajednica ponuditelja: ",CHAR(10),"    INSAKO D.O.O.",CHAR(10),"    PREMIUM D.O.O.")</f>
        <v>1. Zajednica ponuditelja: 
    INSAKO D.O.O.
    PREMIUM D.O.O.</v>
      </c>
      <c r="E95" s="11">
        <v>42073</v>
      </c>
      <c r="F95" s="11">
        <v>42073</v>
      </c>
      <c r="G95" s="8">
        <v>198.05</v>
      </c>
      <c r="H95" s="11">
        <v>42073</v>
      </c>
      <c r="I95" s="8">
        <v>198.05</v>
      </c>
      <c r="J95" s="13">
        <f t="shared" ref="J95:J155" si="5">I95*1.25</f>
        <v>247.5625</v>
      </c>
      <c r="K95" s="6"/>
    </row>
    <row r="96" spans="1:11" ht="48" x14ac:dyDescent="0.25">
      <c r="A96" s="3">
        <v>2</v>
      </c>
      <c r="B96" s="9" t="s">
        <v>36</v>
      </c>
      <c r="C96" s="10" t="str">
        <f>"NAR.BR. 495/2015-N"</f>
        <v>NAR.BR. 495/2015-N</v>
      </c>
      <c r="D96" s="10" t="str">
        <f t="shared" si="4"/>
        <v>1. Zajednica ponuditelja: 
    INSAKO D.O.O.
    PREMIUM D.O.O.</v>
      </c>
      <c r="E96" s="11">
        <v>42345</v>
      </c>
      <c r="F96" s="11">
        <v>42345</v>
      </c>
      <c r="G96" s="8">
        <v>37.5</v>
      </c>
      <c r="H96" s="11">
        <v>42345</v>
      </c>
      <c r="I96" s="8">
        <v>37.5</v>
      </c>
      <c r="J96" s="13">
        <f t="shared" si="5"/>
        <v>46.875</v>
      </c>
      <c r="K96" s="6"/>
    </row>
    <row r="97" spans="1:11" ht="48" x14ac:dyDescent="0.25">
      <c r="A97" s="3">
        <v>3</v>
      </c>
      <c r="B97" s="9" t="s">
        <v>36</v>
      </c>
      <c r="C97" s="10" t="str">
        <f>"NAR.BR. 468/2015-N"</f>
        <v>NAR.BR. 468/2015-N</v>
      </c>
      <c r="D97" s="10" t="str">
        <f t="shared" si="4"/>
        <v>1. Zajednica ponuditelja: 
    INSAKO D.O.O.
    PREMIUM D.O.O.</v>
      </c>
      <c r="E97" s="11">
        <v>42339</v>
      </c>
      <c r="F97" s="11">
        <v>42339</v>
      </c>
      <c r="G97" s="8">
        <v>750</v>
      </c>
      <c r="H97" s="11">
        <v>42339</v>
      </c>
      <c r="I97" s="8">
        <v>750</v>
      </c>
      <c r="J97" s="13">
        <f t="shared" si="5"/>
        <v>937.5</v>
      </c>
      <c r="K97" s="6"/>
    </row>
    <row r="98" spans="1:11" ht="48" x14ac:dyDescent="0.25">
      <c r="A98" s="3">
        <v>4</v>
      </c>
      <c r="B98" s="9" t="s">
        <v>36</v>
      </c>
      <c r="C98" s="10" t="str">
        <f>"NAR.BR. 378/2015-N"</f>
        <v>NAR.BR. 378/2015-N</v>
      </c>
      <c r="D98" s="10" t="str">
        <f t="shared" si="4"/>
        <v>1. Zajednica ponuditelja: 
    INSAKO D.O.O.
    PREMIUM D.O.O.</v>
      </c>
      <c r="E98" s="11">
        <v>42306</v>
      </c>
      <c r="F98" s="11">
        <v>42306</v>
      </c>
      <c r="G98" s="8">
        <v>295.58999999999997</v>
      </c>
      <c r="H98" s="11">
        <v>42306</v>
      </c>
      <c r="I98" s="8">
        <v>295.58999999999997</v>
      </c>
      <c r="J98" s="13">
        <f t="shared" si="5"/>
        <v>369.48749999999995</v>
      </c>
      <c r="K98" s="6"/>
    </row>
    <row r="99" spans="1:11" ht="48" x14ac:dyDescent="0.25">
      <c r="A99" s="3">
        <v>5</v>
      </c>
      <c r="B99" s="9" t="s">
        <v>36</v>
      </c>
      <c r="C99" s="10" t="str">
        <f>"NAR.BR 315/2015-N"</f>
        <v>NAR.BR 315/2015-N</v>
      </c>
      <c r="D99" s="10" t="str">
        <f t="shared" si="4"/>
        <v>1. Zajednica ponuditelja: 
    INSAKO D.O.O.
    PREMIUM D.O.O.</v>
      </c>
      <c r="E99" s="11">
        <v>42290</v>
      </c>
      <c r="F99" s="11">
        <v>42290</v>
      </c>
      <c r="G99" s="8">
        <v>750</v>
      </c>
      <c r="H99" s="11">
        <v>42290</v>
      </c>
      <c r="I99" s="8">
        <v>750</v>
      </c>
      <c r="J99" s="13">
        <f t="shared" si="5"/>
        <v>937.5</v>
      </c>
      <c r="K99" s="6"/>
    </row>
    <row r="100" spans="1:11" ht="48" x14ac:dyDescent="0.25">
      <c r="A100" s="3">
        <v>6</v>
      </c>
      <c r="B100" s="9" t="s">
        <v>36</v>
      </c>
      <c r="C100" s="10" t="str">
        <f>"NAR.BR. 138/2015-N"</f>
        <v>NAR.BR. 138/2015-N</v>
      </c>
      <c r="D100" s="10" t="str">
        <f t="shared" si="4"/>
        <v>1. Zajednica ponuditelja: 
    INSAKO D.O.O.
    PREMIUM D.O.O.</v>
      </c>
      <c r="E100" s="11">
        <v>42212</v>
      </c>
      <c r="F100" s="11">
        <v>42212</v>
      </c>
      <c r="G100" s="8">
        <v>750</v>
      </c>
      <c r="H100" s="11">
        <v>42212</v>
      </c>
      <c r="I100" s="8">
        <v>750</v>
      </c>
      <c r="J100" s="13">
        <f t="shared" si="5"/>
        <v>937.5</v>
      </c>
      <c r="K100" s="6"/>
    </row>
    <row r="101" spans="1:11" ht="48" x14ac:dyDescent="0.25">
      <c r="A101" s="3">
        <v>7</v>
      </c>
      <c r="B101" s="9" t="s">
        <v>36</v>
      </c>
      <c r="C101" s="10" t="str">
        <f>"NAR.BR. 53/2015N"</f>
        <v>NAR.BR. 53/2015N</v>
      </c>
      <c r="D101" s="10" t="str">
        <f t="shared" si="4"/>
        <v>1. Zajednica ponuditelja: 
    INSAKO D.O.O.
    PREMIUM D.O.O.</v>
      </c>
      <c r="E101" s="11">
        <v>42163</v>
      </c>
      <c r="F101" s="11">
        <v>42163</v>
      </c>
      <c r="G101" s="8">
        <v>375</v>
      </c>
      <c r="H101" s="11">
        <v>42163</v>
      </c>
      <c r="I101" s="8">
        <v>375</v>
      </c>
      <c r="J101" s="13">
        <f t="shared" si="5"/>
        <v>468.75</v>
      </c>
      <c r="K101" s="6"/>
    </row>
    <row r="102" spans="1:11" ht="48" x14ac:dyDescent="0.25">
      <c r="A102" s="3">
        <v>8</v>
      </c>
      <c r="B102" s="9" t="s">
        <v>35</v>
      </c>
      <c r="C102" s="10" t="str">
        <f>"136/2014"</f>
        <v>136/2014</v>
      </c>
      <c r="D102" s="10" t="str">
        <f t="shared" si="4"/>
        <v>1. Zajednica ponuditelja: 
    INSAKO D.O.O.
    PREMIUM D.O.O.</v>
      </c>
      <c r="E102" s="11">
        <v>41761</v>
      </c>
      <c r="F102" s="11">
        <v>42126</v>
      </c>
      <c r="G102" s="8">
        <v>29919.599999999999</v>
      </c>
      <c r="H102" s="11">
        <v>42126</v>
      </c>
      <c r="I102" s="8">
        <v>5613.58</v>
      </c>
      <c r="J102" s="13">
        <f t="shared" si="5"/>
        <v>7016.9750000000004</v>
      </c>
      <c r="K102" s="6"/>
    </row>
    <row r="103" spans="1:11" ht="48" x14ac:dyDescent="0.25">
      <c r="A103" s="3">
        <v>9</v>
      </c>
      <c r="B103" s="9" t="s">
        <v>29</v>
      </c>
      <c r="C103" s="10" t="str">
        <f>"10/2013-3-34"</f>
        <v>10/2013-3-34</v>
      </c>
      <c r="D103" s="10" t="str">
        <f t="shared" si="4"/>
        <v>1. Zajednica ponuditelja: 
    INSAKO D.O.O.
    PREMIUM D.O.O.</v>
      </c>
      <c r="E103" s="11">
        <v>41733</v>
      </c>
      <c r="F103" s="11">
        <v>42396</v>
      </c>
      <c r="G103" s="8">
        <v>72990.2</v>
      </c>
      <c r="H103" s="11">
        <v>42396</v>
      </c>
      <c r="I103" s="8">
        <v>39826.22</v>
      </c>
      <c r="J103" s="13">
        <f t="shared" si="5"/>
        <v>49782.775000000001</v>
      </c>
      <c r="K103" s="6"/>
    </row>
    <row r="104" spans="1:11" ht="48" x14ac:dyDescent="0.25">
      <c r="A104" s="3">
        <v>10</v>
      </c>
      <c r="B104" s="9" t="s">
        <v>41</v>
      </c>
      <c r="C104" s="10" t="str">
        <f>"114-DUSJN-II"</f>
        <v>114-DUSJN-II</v>
      </c>
      <c r="D104" s="10" t="str">
        <f t="shared" si="4"/>
        <v>1. Zajednica ponuditelja: 
    INSAKO D.O.O.
    PREMIUM D.O.O.</v>
      </c>
      <c r="E104" s="11">
        <v>41703</v>
      </c>
      <c r="F104" s="11">
        <v>42068</v>
      </c>
      <c r="G104" s="8">
        <v>257681.94</v>
      </c>
      <c r="H104" s="11">
        <v>42068</v>
      </c>
      <c r="I104" s="8">
        <v>145554.07</v>
      </c>
      <c r="J104" s="13">
        <f t="shared" si="5"/>
        <v>181942.58750000002</v>
      </c>
      <c r="K104" s="6"/>
    </row>
    <row r="105" spans="1:11" ht="48" x14ac:dyDescent="0.25">
      <c r="A105" s="3">
        <v>11</v>
      </c>
      <c r="B105" s="9" t="s">
        <v>25</v>
      </c>
      <c r="C105" s="10" t="str">
        <f>"10/2013-3-13"</f>
        <v>10/2013-3-13</v>
      </c>
      <c r="D105" s="10" t="str">
        <f t="shared" si="4"/>
        <v>1. Zajednica ponuditelja: 
    INSAKO D.O.O.
    PREMIUM D.O.O.</v>
      </c>
      <c r="E105" s="11">
        <v>41676</v>
      </c>
      <c r="F105" s="11">
        <v>42369</v>
      </c>
      <c r="G105" s="8">
        <v>42439.12</v>
      </c>
      <c r="H105" s="11">
        <v>42369</v>
      </c>
      <c r="I105" s="8">
        <v>26864.07</v>
      </c>
      <c r="J105" s="13">
        <f t="shared" si="5"/>
        <v>33580.087500000001</v>
      </c>
      <c r="K105" s="6"/>
    </row>
    <row r="106" spans="1:11" ht="48" x14ac:dyDescent="0.25">
      <c r="A106" s="3">
        <v>12</v>
      </c>
      <c r="B106" s="9" t="s">
        <v>58</v>
      </c>
      <c r="C106" s="10" t="str">
        <f>"10/2013-3-23"</f>
        <v>10/2013-3-23</v>
      </c>
      <c r="D106" s="10" t="str">
        <f t="shared" si="4"/>
        <v>1. Zajednica ponuditelja: 
    INSAKO D.O.O.
    PREMIUM D.O.O.</v>
      </c>
      <c r="E106" s="11">
        <v>41677</v>
      </c>
      <c r="F106" s="11">
        <v>42042</v>
      </c>
      <c r="G106" s="8">
        <v>12447.4</v>
      </c>
      <c r="H106" s="11">
        <v>42042</v>
      </c>
      <c r="I106" s="8">
        <v>0</v>
      </c>
      <c r="J106" s="13">
        <f t="shared" si="5"/>
        <v>0</v>
      </c>
      <c r="K106" s="6"/>
    </row>
    <row r="107" spans="1:11" ht="48" x14ac:dyDescent="0.25">
      <c r="A107" s="3">
        <v>13</v>
      </c>
      <c r="B107" s="9" t="s">
        <v>40</v>
      </c>
      <c r="C107" s="10" t="str">
        <f>"2-2014/P+VP"</f>
        <v>2-2014/P+VP</v>
      </c>
      <c r="D107" s="10" t="str">
        <f t="shared" si="4"/>
        <v>1. Zajednica ponuditelja: 
    INSAKO D.O.O.
    PREMIUM D.O.O.</v>
      </c>
      <c r="E107" s="11">
        <v>41677</v>
      </c>
      <c r="F107" s="11">
        <v>42042</v>
      </c>
      <c r="G107" s="8">
        <v>222670.02</v>
      </c>
      <c r="H107" s="11">
        <v>42042</v>
      </c>
      <c r="I107" s="8">
        <v>18915.900000000001</v>
      </c>
      <c r="J107" s="13">
        <f t="shared" si="5"/>
        <v>23644.875</v>
      </c>
      <c r="K107" s="6"/>
    </row>
    <row r="108" spans="1:11" ht="48" x14ac:dyDescent="0.25">
      <c r="A108" s="3">
        <v>14</v>
      </c>
      <c r="B108" s="9" t="s">
        <v>42</v>
      </c>
      <c r="C108" s="10" t="str">
        <f>"SNUG-202-15-0042"</f>
        <v>SNUG-202-15-0042</v>
      </c>
      <c r="D108" s="10" t="str">
        <f t="shared" si="4"/>
        <v>1. Zajednica ponuditelja: 
    INSAKO D.O.O.
    PREMIUM D.O.O.</v>
      </c>
      <c r="E108" s="11">
        <v>42192</v>
      </c>
      <c r="F108" s="11">
        <v>42333</v>
      </c>
      <c r="G108" s="8">
        <v>276096.25</v>
      </c>
      <c r="H108" s="11">
        <v>42333</v>
      </c>
      <c r="I108" s="8">
        <v>276096.25</v>
      </c>
      <c r="J108" s="13">
        <f t="shared" si="5"/>
        <v>345120.3125</v>
      </c>
      <c r="K108" s="6"/>
    </row>
    <row r="109" spans="1:11" ht="48" x14ac:dyDescent="0.25">
      <c r="A109" s="3">
        <v>15</v>
      </c>
      <c r="B109" s="9" t="s">
        <v>58</v>
      </c>
      <c r="C109" s="10" t="str">
        <f>"10/2013-3-125"</f>
        <v>10/2013-3-125</v>
      </c>
      <c r="D109" s="10" t="str">
        <f t="shared" si="4"/>
        <v>1. Zajednica ponuditelja: 
    INSAKO D.O.O.
    PREMIUM D.O.O.</v>
      </c>
      <c r="E109" s="11">
        <v>42043</v>
      </c>
      <c r="F109" s="11">
        <v>42335</v>
      </c>
      <c r="G109" s="8">
        <v>12447.4</v>
      </c>
      <c r="H109" s="11">
        <v>42335</v>
      </c>
      <c r="I109" s="8">
        <v>6321.4</v>
      </c>
      <c r="J109" s="13">
        <f t="shared" si="5"/>
        <v>7901.75</v>
      </c>
      <c r="K109" s="6"/>
    </row>
    <row r="110" spans="1:11" ht="48" x14ac:dyDescent="0.25">
      <c r="A110" s="3">
        <v>16</v>
      </c>
      <c r="B110" s="9" t="s">
        <v>40</v>
      </c>
      <c r="C110" s="10" t="str">
        <f>"5-2015/P+VP"</f>
        <v>5-2015/P+VP</v>
      </c>
      <c r="D110" s="10" t="str">
        <f t="shared" si="4"/>
        <v>1. Zajednica ponuditelja: 
    INSAKO D.O.O.
    PREMIUM D.O.O.</v>
      </c>
      <c r="E110" s="11">
        <v>42044</v>
      </c>
      <c r="F110" s="11">
        <v>42396</v>
      </c>
      <c r="G110" s="8">
        <v>222670.02</v>
      </c>
      <c r="H110" s="11">
        <v>42396</v>
      </c>
      <c r="I110" s="8">
        <v>137126.95000000001</v>
      </c>
      <c r="J110" s="13">
        <f t="shared" si="5"/>
        <v>171408.6875</v>
      </c>
      <c r="K110" s="6"/>
    </row>
    <row r="111" spans="1:11" ht="48" x14ac:dyDescent="0.25">
      <c r="A111" s="3">
        <v>17</v>
      </c>
      <c r="B111" s="9" t="s">
        <v>42</v>
      </c>
      <c r="C111" s="10" t="str">
        <f>"SNUG-202-15-0004"</f>
        <v>SNUG-202-15-0004</v>
      </c>
      <c r="D111" s="10" t="str">
        <f t="shared" si="4"/>
        <v>1. Zajednica ponuditelja: 
    INSAKO D.O.O.
    PREMIUM D.O.O.</v>
      </c>
      <c r="E111" s="11">
        <v>42044</v>
      </c>
      <c r="F111" s="11">
        <v>42369</v>
      </c>
      <c r="G111" s="8">
        <v>189553.86</v>
      </c>
      <c r="H111" s="11">
        <v>42369</v>
      </c>
      <c r="I111" s="8">
        <v>189553.86</v>
      </c>
      <c r="J111" s="13">
        <f t="shared" si="5"/>
        <v>236942.32499999998</v>
      </c>
      <c r="K111" s="6"/>
    </row>
    <row r="112" spans="1:11" ht="48" x14ac:dyDescent="0.25">
      <c r="A112" s="3">
        <v>18</v>
      </c>
      <c r="B112" s="9" t="s">
        <v>39</v>
      </c>
      <c r="C112" s="10" t="str">
        <f>"18/14"</f>
        <v>18/14</v>
      </c>
      <c r="D112" s="10" t="str">
        <f t="shared" si="4"/>
        <v>1. Zajednica ponuditelja: 
    INSAKO D.O.O.
    PREMIUM D.O.O.</v>
      </c>
      <c r="E112" s="11">
        <v>41708</v>
      </c>
      <c r="F112" s="11">
        <v>42439</v>
      </c>
      <c r="G112" s="8">
        <v>86005.74</v>
      </c>
      <c r="H112" s="11">
        <v>42439</v>
      </c>
      <c r="I112" s="8">
        <v>62992.95</v>
      </c>
      <c r="J112" s="13">
        <f t="shared" si="5"/>
        <v>78741.1875</v>
      </c>
      <c r="K112" s="6"/>
    </row>
    <row r="113" spans="1:11" ht="48" x14ac:dyDescent="0.25">
      <c r="A113" s="3">
        <v>19</v>
      </c>
      <c r="B113" s="9" t="s">
        <v>33</v>
      </c>
      <c r="C113" s="10" t="str">
        <f>"P/13135053"</f>
        <v>P/13135053</v>
      </c>
      <c r="D113" s="10" t="str">
        <f t="shared" si="4"/>
        <v>1. Zajednica ponuditelja: 
    INSAKO D.O.O.
    PREMIUM D.O.O.</v>
      </c>
      <c r="E113" s="11">
        <v>42073</v>
      </c>
      <c r="F113" s="11">
        <v>42439</v>
      </c>
      <c r="G113" s="8">
        <v>38768.25</v>
      </c>
      <c r="H113" s="11">
        <v>42439</v>
      </c>
      <c r="I113" s="8">
        <v>26518.84</v>
      </c>
      <c r="J113" s="13">
        <f t="shared" si="5"/>
        <v>33148.550000000003</v>
      </c>
      <c r="K113" s="6"/>
    </row>
    <row r="114" spans="1:11" ht="48" x14ac:dyDescent="0.25">
      <c r="A114" s="3">
        <v>20</v>
      </c>
      <c r="B114" s="9" t="s">
        <v>65</v>
      </c>
      <c r="C114" s="10" t="str">
        <f>"10/2013-3-18"</f>
        <v>10/2013-3-18</v>
      </c>
      <c r="D114" s="10" t="str">
        <f t="shared" si="4"/>
        <v>1. Zajednica ponuditelja: 
    INSAKO D.O.O.
    PREMIUM D.O.O.</v>
      </c>
      <c r="E114" s="11">
        <v>41687</v>
      </c>
      <c r="F114" s="11">
        <v>42052</v>
      </c>
      <c r="G114" s="8">
        <v>199948</v>
      </c>
      <c r="H114" s="11">
        <v>42052</v>
      </c>
      <c r="I114" s="8">
        <v>299190.24</v>
      </c>
      <c r="J114" s="13">
        <f t="shared" si="5"/>
        <v>373987.8</v>
      </c>
      <c r="K114" s="6"/>
    </row>
    <row r="115" spans="1:11" ht="48" x14ac:dyDescent="0.25">
      <c r="A115" s="3">
        <v>21</v>
      </c>
      <c r="B115" s="9" t="s">
        <v>44</v>
      </c>
      <c r="C115" s="10" t="str">
        <f>"10/2013-3-15"</f>
        <v>10/2013-3-15</v>
      </c>
      <c r="D115" s="10" t="str">
        <f t="shared" si="4"/>
        <v>1. Zajednica ponuditelja: 
    INSAKO D.O.O.
    PREMIUM D.O.O.</v>
      </c>
      <c r="E115" s="11">
        <v>41687</v>
      </c>
      <c r="F115" s="11">
        <v>42417</v>
      </c>
      <c r="G115" s="8">
        <v>64346.3</v>
      </c>
      <c r="H115" s="11">
        <v>42417</v>
      </c>
      <c r="I115" s="8">
        <v>29798</v>
      </c>
      <c r="J115" s="13">
        <f t="shared" si="5"/>
        <v>37247.5</v>
      </c>
      <c r="K115" s="6"/>
    </row>
    <row r="116" spans="1:11" ht="48" x14ac:dyDescent="0.25">
      <c r="A116" s="3">
        <v>22</v>
      </c>
      <c r="B116" s="9" t="s">
        <v>38</v>
      </c>
      <c r="C116" s="10" t="str">
        <f>"MV-2/2014"</f>
        <v>MV-2/2014</v>
      </c>
      <c r="D116" s="10" t="str">
        <f t="shared" si="4"/>
        <v>1. Zajednica ponuditelja: 
    INSAKO D.O.O.
    PREMIUM D.O.O.</v>
      </c>
      <c r="E116" s="11">
        <v>41715</v>
      </c>
      <c r="F116" s="11">
        <v>42396</v>
      </c>
      <c r="G116" s="8">
        <v>310998</v>
      </c>
      <c r="H116" s="11">
        <v>42396</v>
      </c>
      <c r="I116" s="8">
        <v>91973</v>
      </c>
      <c r="J116" s="13">
        <f t="shared" si="5"/>
        <v>114966.25</v>
      </c>
      <c r="K116" s="6"/>
    </row>
    <row r="117" spans="1:11" ht="48" x14ac:dyDescent="0.25">
      <c r="A117" s="3">
        <v>23</v>
      </c>
      <c r="B117" s="9" t="s">
        <v>34</v>
      </c>
      <c r="C117" s="10" t="str">
        <f>"12/UZOP/2014"</f>
        <v>12/UZOP/2014</v>
      </c>
      <c r="D117" s="10" t="str">
        <f t="shared" si="4"/>
        <v>1. Zajednica ponuditelja: 
    INSAKO D.O.O.
    PREMIUM D.O.O.</v>
      </c>
      <c r="E117" s="11">
        <v>41691</v>
      </c>
      <c r="F117" s="11">
        <v>42056</v>
      </c>
      <c r="G117" s="8">
        <v>120479.3</v>
      </c>
      <c r="H117" s="11">
        <v>42056</v>
      </c>
      <c r="I117" s="8">
        <v>131312.44</v>
      </c>
      <c r="J117" s="13">
        <f t="shared" si="5"/>
        <v>164140.54999999999</v>
      </c>
      <c r="K117" s="6"/>
    </row>
    <row r="118" spans="1:11" ht="48" x14ac:dyDescent="0.25">
      <c r="A118" s="3">
        <v>24</v>
      </c>
      <c r="B118" s="9" t="s">
        <v>37</v>
      </c>
      <c r="C118" s="10" t="str">
        <f>"14/UPRHPUTEMUZOP-A/2014"</f>
        <v>14/UPRHPUTEMUZOP-A/2014</v>
      </c>
      <c r="D118" s="10" t="str">
        <f t="shared" si="4"/>
        <v>1. Zajednica ponuditelja: 
    INSAKO D.O.O.
    PREMIUM D.O.O.</v>
      </c>
      <c r="E118" s="11">
        <v>41691</v>
      </c>
      <c r="F118" s="11">
        <v>42056</v>
      </c>
      <c r="G118" s="8">
        <v>52113.55</v>
      </c>
      <c r="H118" s="11">
        <v>42056</v>
      </c>
      <c r="I118" s="8">
        <v>4621.18</v>
      </c>
      <c r="J118" s="13">
        <f t="shared" si="5"/>
        <v>5776.4750000000004</v>
      </c>
      <c r="K118" s="6"/>
    </row>
    <row r="119" spans="1:11" ht="48" x14ac:dyDescent="0.25">
      <c r="A119" s="3">
        <v>25</v>
      </c>
      <c r="B119" s="9" t="s">
        <v>37</v>
      </c>
      <c r="C119" s="10" t="str">
        <f>"17/UPRHPUTEMUZOP-A/2015"</f>
        <v>17/UPRHPUTEMUZOP-A/2015</v>
      </c>
      <c r="D119" s="10" t="str">
        <f t="shared" si="4"/>
        <v>1. Zajednica ponuditelja: 
    INSAKO D.O.O.
    PREMIUM D.O.O.</v>
      </c>
      <c r="E119" s="11">
        <v>41691</v>
      </c>
      <c r="F119" s="11">
        <v>42056</v>
      </c>
      <c r="G119" s="8">
        <v>52113.55</v>
      </c>
      <c r="H119" s="11">
        <v>42056</v>
      </c>
      <c r="I119" s="8">
        <v>25624.86</v>
      </c>
      <c r="J119" s="13">
        <f t="shared" si="5"/>
        <v>32031.075000000001</v>
      </c>
      <c r="K119" s="6"/>
    </row>
    <row r="120" spans="1:11" ht="48" x14ac:dyDescent="0.25">
      <c r="A120" s="3">
        <v>26</v>
      </c>
      <c r="B120" s="9" t="s">
        <v>42</v>
      </c>
      <c r="C120" s="10" t="str">
        <f>"SNUG-202-15-0035"</f>
        <v>SNUG-202-15-0035</v>
      </c>
      <c r="D120" s="10" t="str">
        <f t="shared" si="4"/>
        <v>1. Zajednica ponuditelja: 
    INSAKO D.O.O.
    PREMIUM D.O.O.</v>
      </c>
      <c r="E120" s="11">
        <v>42115</v>
      </c>
      <c r="F120" s="11">
        <v>42369</v>
      </c>
      <c r="G120" s="8">
        <v>314000.28000000003</v>
      </c>
      <c r="H120" s="11">
        <v>42369</v>
      </c>
      <c r="I120" s="8">
        <v>313933.88</v>
      </c>
      <c r="J120" s="13">
        <f t="shared" si="5"/>
        <v>392417.35</v>
      </c>
      <c r="K120" s="6"/>
    </row>
    <row r="121" spans="1:11" ht="48" x14ac:dyDescent="0.25">
      <c r="A121" s="3">
        <v>27</v>
      </c>
      <c r="B121" s="9" t="s">
        <v>34</v>
      </c>
      <c r="C121" s="10" t="str">
        <f>"15/UZOP/2015"</f>
        <v>15/UZOP/2015</v>
      </c>
      <c r="D121" s="10" t="str">
        <f t="shared" si="4"/>
        <v>1. Zajednica ponuditelja: 
    INSAKO D.O.O.
    PREMIUM D.O.O.</v>
      </c>
      <c r="E121" s="11">
        <v>42058</v>
      </c>
      <c r="F121" s="11">
        <v>42396</v>
      </c>
      <c r="G121" s="8">
        <v>158290.45000000001</v>
      </c>
      <c r="H121" s="11">
        <v>42396</v>
      </c>
      <c r="I121" s="8">
        <v>92011.6</v>
      </c>
      <c r="J121" s="13">
        <f t="shared" si="5"/>
        <v>115014.5</v>
      </c>
      <c r="K121" s="6"/>
    </row>
    <row r="122" spans="1:11" ht="48" x14ac:dyDescent="0.25">
      <c r="A122" s="3">
        <v>28</v>
      </c>
      <c r="B122" s="9" t="s">
        <v>60</v>
      </c>
      <c r="C122" s="10" t="str">
        <f>"10/2013-3-123"</f>
        <v>10/2013-3-123</v>
      </c>
      <c r="D122" s="10" t="str">
        <f t="shared" si="4"/>
        <v>1. Zajednica ponuditelja: 
    INSAKO D.O.O.
    PREMIUM D.O.O.</v>
      </c>
      <c r="E122" s="11">
        <v>41695</v>
      </c>
      <c r="F122" s="11">
        <v>42060</v>
      </c>
      <c r="G122" s="8">
        <v>128713.7</v>
      </c>
      <c r="H122" s="11">
        <v>42060</v>
      </c>
      <c r="I122" s="8">
        <v>26595.200000000001</v>
      </c>
      <c r="J122" s="13">
        <f t="shared" si="5"/>
        <v>33244</v>
      </c>
      <c r="K122" s="6"/>
    </row>
    <row r="123" spans="1:11" ht="48" x14ac:dyDescent="0.25">
      <c r="A123" s="3">
        <v>29</v>
      </c>
      <c r="B123" s="9" t="s">
        <v>60</v>
      </c>
      <c r="C123" s="10" t="str">
        <f>"10/2013-3-20"</f>
        <v>10/2013-3-20</v>
      </c>
      <c r="D123" s="10" t="str">
        <f t="shared" si="4"/>
        <v>1. Zajednica ponuditelja: 
    INSAKO D.O.O.
    PREMIUM D.O.O.</v>
      </c>
      <c r="E123" s="11">
        <v>41695</v>
      </c>
      <c r="F123" s="11">
        <v>42060</v>
      </c>
      <c r="G123" s="8">
        <v>128713.7</v>
      </c>
      <c r="H123" s="11">
        <v>42060</v>
      </c>
      <c r="I123" s="8">
        <v>123977.60000000001</v>
      </c>
      <c r="J123" s="13">
        <f t="shared" si="5"/>
        <v>154972</v>
      </c>
      <c r="K123" s="6"/>
    </row>
    <row r="124" spans="1:11" ht="48" x14ac:dyDescent="0.25">
      <c r="A124" s="3">
        <v>30</v>
      </c>
      <c r="B124" s="9" t="s">
        <v>46</v>
      </c>
      <c r="C124" s="10" t="str">
        <f>"1/15"</f>
        <v>1/15</v>
      </c>
      <c r="D124" s="10" t="str">
        <f t="shared" si="4"/>
        <v>1. Zajednica ponuditelja: 
    INSAKO D.O.O.
    PREMIUM D.O.O.</v>
      </c>
      <c r="E124" s="11">
        <v>42090</v>
      </c>
      <c r="F124" s="11">
        <v>42369</v>
      </c>
      <c r="G124" s="8">
        <v>2395.92</v>
      </c>
      <c r="H124" s="11">
        <v>42369</v>
      </c>
      <c r="I124" s="8">
        <v>87703.18</v>
      </c>
      <c r="J124" s="13">
        <f t="shared" si="5"/>
        <v>109628.97499999999</v>
      </c>
      <c r="K124" s="6"/>
    </row>
    <row r="125" spans="1:11" ht="48" x14ac:dyDescent="0.25">
      <c r="A125" s="3">
        <v>31</v>
      </c>
      <c r="B125" s="9" t="s">
        <v>41</v>
      </c>
      <c r="C125" s="10" t="str">
        <f>"10/2013-3-124"</f>
        <v>10/2013-3-124</v>
      </c>
      <c r="D125" s="10" t="str">
        <f t="shared" si="4"/>
        <v>1. Zajednica ponuditelja: 
    INSAKO D.O.O.
    PREMIUM D.O.O.</v>
      </c>
      <c r="E125" s="11">
        <v>42123</v>
      </c>
      <c r="F125" s="11">
        <v>42489</v>
      </c>
      <c r="G125" s="8">
        <v>276124.17</v>
      </c>
      <c r="H125" s="11">
        <v>42489</v>
      </c>
      <c r="I125" s="8">
        <v>191739.86</v>
      </c>
      <c r="J125" s="13">
        <f t="shared" si="5"/>
        <v>239674.82499999998</v>
      </c>
      <c r="K125" s="6"/>
    </row>
    <row r="126" spans="1:11" ht="48" x14ac:dyDescent="0.25">
      <c r="A126" s="3">
        <v>32</v>
      </c>
      <c r="B126" s="9" t="s">
        <v>45</v>
      </c>
      <c r="C126" s="10" t="str">
        <f>"10/2013-3-U1"</f>
        <v>10/2013-3-U1</v>
      </c>
      <c r="D126" s="10" t="str">
        <f t="shared" si="4"/>
        <v>1. Zajednica ponuditelja: 
    INSAKO D.O.O.
    PREMIUM D.O.O.</v>
      </c>
      <c r="E126" s="11">
        <v>41666</v>
      </c>
      <c r="F126" s="11"/>
      <c r="G126" s="8">
        <v>8082.76</v>
      </c>
      <c r="H126" s="11"/>
      <c r="I126" s="8">
        <v>6553.36</v>
      </c>
      <c r="J126" s="13">
        <f t="shared" si="5"/>
        <v>8191.7</v>
      </c>
      <c r="K126" s="6"/>
    </row>
    <row r="127" spans="1:11" ht="48" x14ac:dyDescent="0.25">
      <c r="A127" s="3">
        <v>33</v>
      </c>
      <c r="B127" s="9" t="s">
        <v>48</v>
      </c>
      <c r="C127" s="10" t="str">
        <f>"206/2015"</f>
        <v>206/2015</v>
      </c>
      <c r="D127" s="10" t="str">
        <f t="shared" si="4"/>
        <v>1. Zajednica ponuditelja: 
    INSAKO D.O.O.
    PREMIUM D.O.O.</v>
      </c>
      <c r="E127" s="11">
        <v>42312</v>
      </c>
      <c r="F127" s="11"/>
      <c r="G127" s="8">
        <v>485.13</v>
      </c>
      <c r="H127" s="11"/>
      <c r="I127" s="8">
        <v>485.13</v>
      </c>
      <c r="J127" s="13">
        <f t="shared" si="5"/>
        <v>606.41250000000002</v>
      </c>
      <c r="K127" s="6"/>
    </row>
    <row r="128" spans="1:11" ht="48" x14ac:dyDescent="0.25">
      <c r="A128" s="3">
        <v>34</v>
      </c>
      <c r="B128" s="9" t="s">
        <v>49</v>
      </c>
      <c r="C128" s="10" t="str">
        <f>"146/2015"</f>
        <v>146/2015</v>
      </c>
      <c r="D128" s="10" t="str">
        <f t="shared" si="4"/>
        <v>1. Zajednica ponuditelja: 
    INSAKO D.O.O.
    PREMIUM D.O.O.</v>
      </c>
      <c r="E128" s="11">
        <v>42052</v>
      </c>
      <c r="F128" s="11"/>
      <c r="G128" s="8">
        <v>657.02</v>
      </c>
      <c r="H128" s="11"/>
      <c r="I128" s="8">
        <v>657.02</v>
      </c>
      <c r="J128" s="13">
        <f t="shared" si="5"/>
        <v>821.27499999999998</v>
      </c>
      <c r="K128" s="6"/>
    </row>
    <row r="129" spans="1:11" ht="48" x14ac:dyDescent="0.25">
      <c r="A129" s="3">
        <v>35</v>
      </c>
      <c r="B129" s="9" t="s">
        <v>49</v>
      </c>
      <c r="C129" s="10" t="str">
        <f>"225//2015"</f>
        <v>225//2015</v>
      </c>
      <c r="D129" s="10" t="str">
        <f t="shared" si="4"/>
        <v>1. Zajednica ponuditelja: 
    INSAKO D.O.O.
    PREMIUM D.O.O.</v>
      </c>
      <c r="E129" s="11">
        <v>42073</v>
      </c>
      <c r="F129" s="11"/>
      <c r="G129" s="8">
        <v>150.97</v>
      </c>
      <c r="H129" s="11"/>
      <c r="I129" s="8">
        <v>150.97</v>
      </c>
      <c r="J129" s="13">
        <f t="shared" si="5"/>
        <v>188.71250000000001</v>
      </c>
      <c r="K129" s="6"/>
    </row>
    <row r="130" spans="1:11" ht="48" x14ac:dyDescent="0.25">
      <c r="A130" s="3">
        <v>36</v>
      </c>
      <c r="B130" s="9" t="s">
        <v>49</v>
      </c>
      <c r="C130" s="10" t="str">
        <f>"238/2015"</f>
        <v>238/2015</v>
      </c>
      <c r="D130" s="10" t="str">
        <f t="shared" si="4"/>
        <v>1. Zajednica ponuditelja: 
    INSAKO D.O.O.
    PREMIUM D.O.O.</v>
      </c>
      <c r="E130" s="11">
        <v>42074</v>
      </c>
      <c r="F130" s="11"/>
      <c r="G130" s="8">
        <v>23.5</v>
      </c>
      <c r="H130" s="11"/>
      <c r="I130" s="8">
        <v>5514.29</v>
      </c>
      <c r="J130" s="13">
        <f t="shared" si="5"/>
        <v>6892.8625000000002</v>
      </c>
      <c r="K130" s="6"/>
    </row>
    <row r="131" spans="1:11" ht="48" x14ac:dyDescent="0.25">
      <c r="A131" s="3">
        <v>37</v>
      </c>
      <c r="B131" s="9" t="s">
        <v>43</v>
      </c>
      <c r="C131" s="10" t="str">
        <f>"MRMS-POTR3-2015"</f>
        <v>MRMS-POTR3-2015</v>
      </c>
      <c r="D131" s="10" t="str">
        <f t="shared" si="4"/>
        <v>1. Zajednica ponuditelja: 
    INSAKO D.O.O.
    PREMIUM D.O.O.</v>
      </c>
      <c r="E131" s="11">
        <v>42005</v>
      </c>
      <c r="F131" s="11">
        <v>42369</v>
      </c>
      <c r="G131" s="8">
        <v>1681.19</v>
      </c>
      <c r="H131" s="11">
        <v>42369</v>
      </c>
      <c r="I131" s="8">
        <v>1681.19</v>
      </c>
      <c r="J131" s="13">
        <f t="shared" si="5"/>
        <v>2101.4875000000002</v>
      </c>
      <c r="K131" s="6"/>
    </row>
    <row r="132" spans="1:11" ht="48" x14ac:dyDescent="0.25">
      <c r="A132" s="3">
        <v>38</v>
      </c>
      <c r="B132" s="9" t="s">
        <v>42</v>
      </c>
      <c r="C132" s="10" t="str">
        <f>"NND-202-15-100"</f>
        <v>NND-202-15-100</v>
      </c>
      <c r="D132" s="10" t="str">
        <f t="shared" si="4"/>
        <v>1. Zajednica ponuditelja: 
    INSAKO D.O.O.
    PREMIUM D.O.O.</v>
      </c>
      <c r="E132" s="11">
        <v>42138</v>
      </c>
      <c r="F132" s="11"/>
      <c r="G132" s="8">
        <v>1430.04</v>
      </c>
      <c r="H132" s="11"/>
      <c r="I132" s="8">
        <v>1430.04</v>
      </c>
      <c r="J132" s="13">
        <f t="shared" si="5"/>
        <v>1787.55</v>
      </c>
      <c r="K132" s="6"/>
    </row>
    <row r="133" spans="1:11" ht="48" x14ac:dyDescent="0.25">
      <c r="A133" s="3">
        <v>39</v>
      </c>
      <c r="B133" s="9" t="s">
        <v>42</v>
      </c>
      <c r="C133" s="10" t="str">
        <f>"NND-202-15-158"</f>
        <v>NND-202-15-158</v>
      </c>
      <c r="D133" s="10" t="str">
        <f t="shared" si="4"/>
        <v>1. Zajednica ponuditelja: 
    INSAKO D.O.O.
    PREMIUM D.O.O.</v>
      </c>
      <c r="E133" s="11">
        <v>42193</v>
      </c>
      <c r="F133" s="11"/>
      <c r="G133" s="8">
        <v>4018.65</v>
      </c>
      <c r="H133" s="11"/>
      <c r="I133" s="8">
        <v>4018.65</v>
      </c>
      <c r="J133" s="13">
        <f t="shared" si="5"/>
        <v>5023.3125</v>
      </c>
      <c r="K133" s="6"/>
    </row>
    <row r="134" spans="1:11" ht="48" x14ac:dyDescent="0.25">
      <c r="A134" s="3">
        <v>40</v>
      </c>
      <c r="B134" s="9" t="s">
        <v>42</v>
      </c>
      <c r="C134" s="10" t="str">
        <f>"NND-202-15-200"</f>
        <v>NND-202-15-200</v>
      </c>
      <c r="D134" s="10" t="str">
        <f t="shared" si="4"/>
        <v>1. Zajednica ponuditelja: 
    INSAKO D.O.O.
    PREMIUM D.O.O.</v>
      </c>
      <c r="E134" s="11">
        <v>42214</v>
      </c>
      <c r="F134" s="11"/>
      <c r="G134" s="8">
        <v>5800</v>
      </c>
      <c r="H134" s="11"/>
      <c r="I134" s="8">
        <v>5800</v>
      </c>
      <c r="J134" s="13">
        <f t="shared" si="5"/>
        <v>7250</v>
      </c>
      <c r="K134" s="6"/>
    </row>
    <row r="135" spans="1:11" ht="48" x14ac:dyDescent="0.25">
      <c r="A135" s="3">
        <v>41</v>
      </c>
      <c r="B135" s="9" t="s">
        <v>31</v>
      </c>
      <c r="C135" s="10" t="str">
        <f>"NAR2015-VG3"</f>
        <v>NAR2015-VG3</v>
      </c>
      <c r="D135" s="10" t="str">
        <f>CONCATENATE("1. Zajednica ponuditelja: ",CHAR(10),"    PREMIUM D.O.O.",CHAR(10),"    PREMIUM D.O.O.")</f>
        <v>1. Zajednica ponuditelja: 
    PREMIUM D.O.O.
    PREMIUM D.O.O.</v>
      </c>
      <c r="E135" s="11">
        <v>42369</v>
      </c>
      <c r="F135" s="11"/>
      <c r="G135" s="8">
        <v>23356</v>
      </c>
      <c r="H135" s="11"/>
      <c r="I135" s="8">
        <v>23356</v>
      </c>
      <c r="J135" s="13">
        <f t="shared" si="5"/>
        <v>29195</v>
      </c>
      <c r="K135" s="6"/>
    </row>
    <row r="136" spans="1:11" ht="48" x14ac:dyDescent="0.25">
      <c r="A136" s="3">
        <v>42</v>
      </c>
      <c r="B136" s="9" t="s">
        <v>32</v>
      </c>
      <c r="C136" s="10" t="str">
        <f>"920-07/14-13/08"</f>
        <v>920-07/14-13/08</v>
      </c>
      <c r="D136" s="10" t="str">
        <f>CONCATENATE("1. Zajednica ponuditelja: ",CHAR(10),"    PREMIUM D.O.O.",CHAR(10),"    PREMIUM D.O.O.")</f>
        <v>1. Zajednica ponuditelja: 
    PREMIUM D.O.O.
    PREMIUM D.O.O.</v>
      </c>
      <c r="E136" s="11">
        <v>41694</v>
      </c>
      <c r="F136" s="11"/>
      <c r="G136" s="8">
        <v>16327.55</v>
      </c>
      <c r="H136" s="11"/>
      <c r="I136" s="8">
        <v>15896.72</v>
      </c>
      <c r="J136" s="13">
        <f t="shared" si="5"/>
        <v>19870.899999999998</v>
      </c>
      <c r="K136" s="6"/>
    </row>
    <row r="137" spans="1:11" ht="48" x14ac:dyDescent="0.25">
      <c r="A137" s="3">
        <v>43</v>
      </c>
      <c r="B137" s="9" t="s">
        <v>30</v>
      </c>
      <c r="C137" s="10" t="str">
        <f>"000286/2015"</f>
        <v>000286/2015</v>
      </c>
      <c r="D137" s="10" t="str">
        <f>CONCATENATE("1. Zajednica ponuditelja: ",CHAR(10),"    INSAKO D.O.O.",CHAR(10),"    PREMIUM D.O.O.")</f>
        <v>1. Zajednica ponuditelja: 
    INSAKO D.O.O.
    PREMIUM D.O.O.</v>
      </c>
      <c r="E137" s="11">
        <v>42139</v>
      </c>
      <c r="F137" s="11"/>
      <c r="G137" s="8">
        <v>2389</v>
      </c>
      <c r="H137" s="11"/>
      <c r="I137" s="8">
        <v>1086</v>
      </c>
      <c r="J137" s="13">
        <f t="shared" si="5"/>
        <v>1357.5</v>
      </c>
      <c r="K137" s="6"/>
    </row>
    <row r="138" spans="1:11" ht="48" x14ac:dyDescent="0.25">
      <c r="A138" s="3">
        <v>44</v>
      </c>
      <c r="B138" s="9" t="s">
        <v>28</v>
      </c>
      <c r="C138" s="10" t="str">
        <f>"MGPU 10/2013-3"</f>
        <v>MGPU 10/2013-3</v>
      </c>
      <c r="D138" s="10" t="str">
        <f>CONCATENATE("1. Zajednica ponuditelja: ",CHAR(10),"    PREMIUM D.O.O.",CHAR(10),"    PREMIUM D.O.O.")</f>
        <v>1. Zajednica ponuditelja: 
    PREMIUM D.O.O.
    PREMIUM D.O.O.</v>
      </c>
      <c r="E138" s="11">
        <v>42024</v>
      </c>
      <c r="F138" s="11">
        <v>42369</v>
      </c>
      <c r="G138" s="8">
        <v>7614.51</v>
      </c>
      <c r="H138" s="11">
        <v>42369</v>
      </c>
      <c r="I138" s="8">
        <v>4758.7299999999996</v>
      </c>
      <c r="J138" s="13">
        <f t="shared" si="5"/>
        <v>5948.4124999999995</v>
      </c>
      <c r="K138" s="6"/>
    </row>
    <row r="139" spans="1:11" ht="48" x14ac:dyDescent="0.25">
      <c r="A139" s="3">
        <v>45</v>
      </c>
      <c r="B139" s="9" t="s">
        <v>59</v>
      </c>
      <c r="C139" s="10" t="str">
        <f>"000215/2015"</f>
        <v>000215/2015</v>
      </c>
      <c r="D139" s="10" t="str">
        <f t="shared" ref="D139:D152" si="6">CONCATENATE("1. Zajednica ponuditelja: ",CHAR(10),"    INSAKO D.O.O.",CHAR(10),"    PREMIUM D.O.O.")</f>
        <v>1. Zajednica ponuditelja: 
    INSAKO D.O.O.
    PREMIUM D.O.O.</v>
      </c>
      <c r="E139" s="11">
        <v>42131</v>
      </c>
      <c r="F139" s="11"/>
      <c r="G139" s="8">
        <v>252</v>
      </c>
      <c r="H139" s="11"/>
      <c r="I139" s="8">
        <v>252</v>
      </c>
      <c r="J139" s="13">
        <f t="shared" si="5"/>
        <v>315</v>
      </c>
      <c r="K139" s="6"/>
    </row>
    <row r="140" spans="1:11" ht="48" x14ac:dyDescent="0.25">
      <c r="A140" s="3">
        <v>46</v>
      </c>
      <c r="B140" s="9" t="s">
        <v>59</v>
      </c>
      <c r="C140" s="10" t="str">
        <f>"000337/2015"</f>
        <v>000337/2015</v>
      </c>
      <c r="D140" s="10" t="str">
        <f t="shared" si="6"/>
        <v>1. Zajednica ponuditelja: 
    INSAKO D.O.O.
    PREMIUM D.O.O.</v>
      </c>
      <c r="E140" s="11">
        <v>42226</v>
      </c>
      <c r="F140" s="11"/>
      <c r="G140" s="8">
        <v>431.25</v>
      </c>
      <c r="H140" s="11"/>
      <c r="I140" s="8">
        <v>431.25</v>
      </c>
      <c r="J140" s="13">
        <f t="shared" si="5"/>
        <v>539.0625</v>
      </c>
      <c r="K140" s="6"/>
    </row>
    <row r="141" spans="1:11" ht="48" x14ac:dyDescent="0.25">
      <c r="A141" s="3">
        <v>47</v>
      </c>
      <c r="B141" s="9" t="s">
        <v>59</v>
      </c>
      <c r="C141" s="10" t="str">
        <f>"000485/2015"</f>
        <v>000485/2015</v>
      </c>
      <c r="D141" s="10" t="str">
        <f t="shared" si="6"/>
        <v>1. Zajednica ponuditelja: 
    INSAKO D.O.O.
    PREMIUM D.O.O.</v>
      </c>
      <c r="E141" s="11">
        <v>42307</v>
      </c>
      <c r="F141" s="11"/>
      <c r="G141" s="8">
        <v>455.3</v>
      </c>
      <c r="H141" s="11"/>
      <c r="I141" s="8">
        <v>455.3</v>
      </c>
      <c r="J141" s="13">
        <f t="shared" si="5"/>
        <v>569.125</v>
      </c>
      <c r="K141" s="6"/>
    </row>
    <row r="142" spans="1:11" ht="48" x14ac:dyDescent="0.25">
      <c r="A142" s="3">
        <v>48</v>
      </c>
      <c r="B142" s="9" t="s">
        <v>59</v>
      </c>
      <c r="C142" s="10" t="str">
        <f>"000516/2015"</f>
        <v>000516/2015</v>
      </c>
      <c r="D142" s="10" t="str">
        <f t="shared" si="6"/>
        <v>1. Zajednica ponuditelja: 
    INSAKO D.O.O.
    PREMIUM D.O.O.</v>
      </c>
      <c r="E142" s="11">
        <v>42326</v>
      </c>
      <c r="F142" s="11"/>
      <c r="G142" s="8">
        <v>368.95</v>
      </c>
      <c r="H142" s="11"/>
      <c r="I142" s="8">
        <v>368.95</v>
      </c>
      <c r="J142" s="13">
        <f t="shared" si="5"/>
        <v>461.1875</v>
      </c>
      <c r="K142" s="6"/>
    </row>
    <row r="143" spans="1:11" ht="48" x14ac:dyDescent="0.25">
      <c r="A143" s="3">
        <v>49</v>
      </c>
      <c r="B143" s="9" t="s">
        <v>27</v>
      </c>
      <c r="C143" s="10" t="str">
        <f>"12345/2-14"</f>
        <v>12345/2-14</v>
      </c>
      <c r="D143" s="10" t="str">
        <f t="shared" si="6"/>
        <v>1. Zajednica ponuditelja: 
    INSAKO D.O.O.
    PREMIUM D.O.O.</v>
      </c>
      <c r="E143" s="11">
        <v>42035</v>
      </c>
      <c r="F143" s="11"/>
      <c r="G143" s="8">
        <v>1171471</v>
      </c>
      <c r="H143" s="11"/>
      <c r="I143" s="8">
        <v>1171471</v>
      </c>
      <c r="J143" s="13">
        <f t="shared" si="5"/>
        <v>1464338.75</v>
      </c>
      <c r="K143" s="6"/>
    </row>
    <row r="144" spans="1:11" ht="48" x14ac:dyDescent="0.25">
      <c r="A144" s="3">
        <v>50</v>
      </c>
      <c r="B144" s="9" t="s">
        <v>36</v>
      </c>
      <c r="C144" s="10" t="str">
        <f>"NAR.BR.231/2015-OS"</f>
        <v>NAR.BR.231/2015-OS</v>
      </c>
      <c r="D144" s="10" t="str">
        <f t="shared" si="6"/>
        <v>1. Zajednica ponuditelja: 
    INSAKO D.O.O.
    PREMIUM D.O.O.</v>
      </c>
      <c r="E144" s="11">
        <v>42083</v>
      </c>
      <c r="F144" s="11">
        <v>42083</v>
      </c>
      <c r="G144" s="8">
        <v>750</v>
      </c>
      <c r="H144" s="11">
        <v>42083</v>
      </c>
      <c r="I144" s="8">
        <v>750</v>
      </c>
      <c r="J144" s="13">
        <f t="shared" si="5"/>
        <v>937.5</v>
      </c>
      <c r="K144" s="6"/>
    </row>
    <row r="145" spans="1:11" ht="48" x14ac:dyDescent="0.25">
      <c r="A145" s="3">
        <v>51</v>
      </c>
      <c r="B145" s="9" t="s">
        <v>36</v>
      </c>
      <c r="C145" s="10" t="str">
        <f>"NAR.BR. 17/2015-OS"</f>
        <v>NAR.BR. 17/2015-OS</v>
      </c>
      <c r="D145" s="10" t="str">
        <f t="shared" si="6"/>
        <v>1. Zajednica ponuditelja: 
    INSAKO D.O.O.
    PREMIUM D.O.O.</v>
      </c>
      <c r="E145" s="11">
        <v>42016</v>
      </c>
      <c r="F145" s="11">
        <v>42016</v>
      </c>
      <c r="G145" s="8">
        <v>242.2</v>
      </c>
      <c r="H145" s="11">
        <v>42016</v>
      </c>
      <c r="I145" s="8">
        <v>242.2</v>
      </c>
      <c r="J145" s="13">
        <f t="shared" si="5"/>
        <v>302.75</v>
      </c>
      <c r="K145" s="6"/>
    </row>
    <row r="146" spans="1:11" ht="48" x14ac:dyDescent="0.25">
      <c r="A146" s="3">
        <v>52</v>
      </c>
      <c r="B146" s="9" t="s">
        <v>36</v>
      </c>
      <c r="C146" s="10" t="str">
        <f>"NAR.BR. 104/2015-OS"</f>
        <v>NAR.BR. 104/2015-OS</v>
      </c>
      <c r="D146" s="10" t="str">
        <f t="shared" si="6"/>
        <v>1. Zajednica ponuditelja: 
    INSAKO D.O.O.
    PREMIUM D.O.O.</v>
      </c>
      <c r="E146" s="11">
        <v>42044</v>
      </c>
      <c r="F146" s="11">
        <v>42044</v>
      </c>
      <c r="G146" s="8">
        <v>37.5</v>
      </c>
      <c r="H146" s="11">
        <v>42044</v>
      </c>
      <c r="I146" s="8">
        <v>37.5</v>
      </c>
      <c r="J146" s="13">
        <f t="shared" si="5"/>
        <v>46.875</v>
      </c>
      <c r="K146" s="6"/>
    </row>
    <row r="147" spans="1:11" ht="48" x14ac:dyDescent="0.25">
      <c r="A147" s="3">
        <v>53</v>
      </c>
      <c r="B147" s="9" t="s">
        <v>36</v>
      </c>
      <c r="C147" s="10" t="str">
        <f>"NAR.BR. 168/2015-OS"</f>
        <v>NAR.BR. 168/2015-OS</v>
      </c>
      <c r="D147" s="10" t="str">
        <f t="shared" si="6"/>
        <v>1. Zajednica ponuditelja: 
    INSAKO D.O.O.
    PREMIUM D.O.O.</v>
      </c>
      <c r="E147" s="11">
        <v>42062</v>
      </c>
      <c r="F147" s="11">
        <v>42062</v>
      </c>
      <c r="G147" s="8">
        <v>37.5</v>
      </c>
      <c r="H147" s="11">
        <v>42062</v>
      </c>
      <c r="I147" s="8">
        <v>37.5</v>
      </c>
      <c r="J147" s="13">
        <f t="shared" si="5"/>
        <v>46.875</v>
      </c>
      <c r="K147" s="6"/>
    </row>
    <row r="148" spans="1:11" ht="48" x14ac:dyDescent="0.25">
      <c r="A148" s="3">
        <v>54</v>
      </c>
      <c r="B148" s="9" t="s">
        <v>36</v>
      </c>
      <c r="C148" s="10" t="str">
        <f>"NAR.BR. 17/2015/N"</f>
        <v>NAR.BR. 17/2015/N</v>
      </c>
      <c r="D148" s="10" t="str">
        <f t="shared" si="6"/>
        <v>1. Zajednica ponuditelja: 
    INSAKO D.O.O.
    PREMIUM D.O.O.</v>
      </c>
      <c r="E148" s="11">
        <v>42144</v>
      </c>
      <c r="F148" s="11">
        <v>42144</v>
      </c>
      <c r="G148" s="8">
        <v>749.6</v>
      </c>
      <c r="H148" s="11">
        <v>42144</v>
      </c>
      <c r="I148" s="8">
        <v>749.6</v>
      </c>
      <c r="J148" s="13">
        <f t="shared" si="5"/>
        <v>937</v>
      </c>
      <c r="K148" s="6"/>
    </row>
    <row r="149" spans="1:11" ht="48" x14ac:dyDescent="0.25">
      <c r="A149" s="3">
        <v>55</v>
      </c>
      <c r="B149" s="9" t="s">
        <v>35</v>
      </c>
      <c r="C149" s="10" t="str">
        <f>"84/2015"</f>
        <v>84/2015</v>
      </c>
      <c r="D149" s="10" t="str">
        <f t="shared" si="6"/>
        <v>1. Zajednica ponuditelja: 
    INSAKO D.O.O.
    PREMIUM D.O.O.</v>
      </c>
      <c r="E149" s="11">
        <v>42124</v>
      </c>
      <c r="F149" s="11">
        <v>42396</v>
      </c>
      <c r="G149" s="8">
        <v>21999.200000000001</v>
      </c>
      <c r="H149" s="11">
        <v>42396</v>
      </c>
      <c r="I149" s="8">
        <v>5725</v>
      </c>
      <c r="J149" s="13">
        <f t="shared" si="5"/>
        <v>7156.25</v>
      </c>
      <c r="K149" s="6"/>
    </row>
    <row r="150" spans="1:11" ht="48" x14ac:dyDescent="0.25">
      <c r="A150" s="3">
        <v>56</v>
      </c>
      <c r="B150" s="9" t="s">
        <v>51</v>
      </c>
      <c r="C150" s="10" t="str">
        <f>"32 DO 2855"</f>
        <v>32 DO 2855</v>
      </c>
      <c r="D150" s="10" t="str">
        <f t="shared" si="6"/>
        <v>1. Zajednica ponuditelja: 
    INSAKO D.O.O.
    PREMIUM D.O.O.</v>
      </c>
      <c r="E150" s="11">
        <v>42013</v>
      </c>
      <c r="F150" s="11">
        <v>42335</v>
      </c>
      <c r="G150" s="8">
        <v>9793.1299999999992</v>
      </c>
      <c r="H150" s="11">
        <v>42335</v>
      </c>
      <c r="I150" s="8">
        <v>9793.1299999999992</v>
      </c>
      <c r="J150" s="13">
        <f t="shared" si="5"/>
        <v>12241.412499999999</v>
      </c>
      <c r="K150" s="6"/>
    </row>
    <row r="151" spans="1:11" ht="48" x14ac:dyDescent="0.25">
      <c r="A151" s="3">
        <v>57</v>
      </c>
      <c r="B151" s="9" t="s">
        <v>54</v>
      </c>
      <c r="C151" s="10" t="str">
        <f>"10/2013-3-80"</f>
        <v>10/2013-3-80</v>
      </c>
      <c r="D151" s="10" t="str">
        <f t="shared" si="6"/>
        <v>1. Zajednica ponuditelja: 
    INSAKO D.O.O.
    PREMIUM D.O.O.</v>
      </c>
      <c r="E151" s="11">
        <v>42006</v>
      </c>
      <c r="F151" s="11">
        <v>42396</v>
      </c>
      <c r="G151" s="8">
        <v>14035.36</v>
      </c>
      <c r="H151" s="11">
        <v>42396</v>
      </c>
      <c r="I151" s="8">
        <v>13018.97</v>
      </c>
      <c r="J151" s="13">
        <f t="shared" si="5"/>
        <v>16273.7125</v>
      </c>
      <c r="K151" s="6"/>
    </row>
    <row r="152" spans="1:11" ht="48" x14ac:dyDescent="0.25">
      <c r="A152" s="3">
        <v>58</v>
      </c>
      <c r="B152" s="9" t="s">
        <v>55</v>
      </c>
      <c r="C152" s="10" t="str">
        <f>"O/15-"</f>
        <v>O/15-</v>
      </c>
      <c r="D152" s="10" t="str">
        <f t="shared" si="6"/>
        <v>1. Zajednica ponuditelja: 
    INSAKO D.O.O.
    PREMIUM D.O.O.</v>
      </c>
      <c r="E152" s="11">
        <v>42005</v>
      </c>
      <c r="F152" s="11">
        <v>42369</v>
      </c>
      <c r="G152" s="8">
        <v>25801.7</v>
      </c>
      <c r="H152" s="11">
        <v>42369</v>
      </c>
      <c r="I152" s="8">
        <v>25801.7</v>
      </c>
      <c r="J152" s="13">
        <f t="shared" si="5"/>
        <v>32252.125</v>
      </c>
      <c r="K152" s="6"/>
    </row>
    <row r="153" spans="1:11" ht="48" x14ac:dyDescent="0.25">
      <c r="A153" s="3">
        <v>59</v>
      </c>
      <c r="B153" s="9" t="s">
        <v>26</v>
      </c>
      <c r="C153" s="10" t="str">
        <f>"08-2015"</f>
        <v>08-2015</v>
      </c>
      <c r="D153" s="10" t="str">
        <f>CONCATENATE("1. Zajednica ponuditelja: ",CHAR(10),"    PREMIUM D.O.O.",CHAR(10),"    PREMIUM D.O.O.")</f>
        <v>1. Zajednica ponuditelja: 
    PREMIUM D.O.O.
    PREMIUM D.O.O.</v>
      </c>
      <c r="E153" s="11">
        <v>42009</v>
      </c>
      <c r="F153" s="11">
        <v>42369</v>
      </c>
      <c r="G153" s="8">
        <v>8894.19</v>
      </c>
      <c r="H153" s="11">
        <v>42369</v>
      </c>
      <c r="I153" s="8">
        <v>5147.28</v>
      </c>
      <c r="J153" s="13">
        <f t="shared" si="5"/>
        <v>6434.0999999999995</v>
      </c>
      <c r="K153" s="6"/>
    </row>
    <row r="154" spans="1:11" ht="51.75" customHeight="1" x14ac:dyDescent="0.25">
      <c r="A154" s="3">
        <v>60</v>
      </c>
      <c r="B154" s="9" t="s">
        <v>62</v>
      </c>
      <c r="C154" s="10" t="str">
        <f>"030-01/15-01/8(3)"</f>
        <v>030-01/15-01/8(3)</v>
      </c>
      <c r="D154" s="10" t="str">
        <f>CONCATENATE("1. Zajednica ponuditelja: ",CHAR(10),"    INSAKO D.O.O.",CHAR(10),"    PREMIUM D.O.O.")</f>
        <v>1. Zajednica ponuditelja: 
    INSAKO D.O.O.
    PREMIUM D.O.O.</v>
      </c>
      <c r="E154" s="11">
        <v>42423</v>
      </c>
      <c r="F154" s="11">
        <v>42396</v>
      </c>
      <c r="G154" s="8">
        <v>0</v>
      </c>
      <c r="H154" s="11">
        <v>42396</v>
      </c>
      <c r="I154" s="8">
        <v>1418.72</v>
      </c>
      <c r="J154" s="13">
        <f t="shared" si="5"/>
        <v>1773.4</v>
      </c>
      <c r="K154" s="6"/>
    </row>
    <row r="155" spans="1:11" ht="48" x14ac:dyDescent="0.25">
      <c r="A155" s="3">
        <v>61</v>
      </c>
      <c r="B155" s="9" t="s">
        <v>53</v>
      </c>
      <c r="C155" s="10" t="str">
        <f>"10/2013-3-MB"</f>
        <v>10/2013-3-MB</v>
      </c>
      <c r="D155" s="10" t="str">
        <f>CONCATENATE("1. Zajednica ponuditelja: ",CHAR(10),"    INSAKO D.O.O.",CHAR(10),"    PREMIUM D.O.O.")</f>
        <v>1. Zajednica ponuditelja: 
    INSAKO D.O.O.
    PREMIUM D.O.O.</v>
      </c>
      <c r="E155" s="11">
        <v>42005</v>
      </c>
      <c r="F155" s="11">
        <v>42396</v>
      </c>
      <c r="G155" s="8">
        <v>0</v>
      </c>
      <c r="H155" s="11">
        <v>42396</v>
      </c>
      <c r="I155" s="8">
        <v>5637.78</v>
      </c>
      <c r="J155" s="13">
        <f t="shared" si="5"/>
        <v>7047.2249999999995</v>
      </c>
      <c r="K155" s="6"/>
    </row>
    <row r="156" spans="1:11" ht="7.5" customHeight="1" x14ac:dyDescent="0.25"/>
    <row r="157" spans="1:11" ht="42" customHeight="1" x14ac:dyDescent="0.25">
      <c r="A157" s="1" t="s">
        <v>0</v>
      </c>
      <c r="B157" s="2" t="s">
        <v>1</v>
      </c>
      <c r="C157" s="2" t="s">
        <v>6</v>
      </c>
      <c r="D157" s="2" t="s">
        <v>2</v>
      </c>
      <c r="E157" s="2" t="s">
        <v>3</v>
      </c>
      <c r="F157" s="2" t="s">
        <v>7</v>
      </c>
      <c r="G157" s="2" t="s">
        <v>8</v>
      </c>
      <c r="H157" s="2" t="s">
        <v>4</v>
      </c>
      <c r="I157" s="2" t="s">
        <v>5</v>
      </c>
    </row>
    <row r="158" spans="1:11" x14ac:dyDescent="0.25">
      <c r="A158" s="3">
        <v>1</v>
      </c>
      <c r="B158" s="6" t="s">
        <v>66</v>
      </c>
      <c r="C158" s="3" t="s">
        <v>67</v>
      </c>
      <c r="D158" s="3" t="s">
        <v>694</v>
      </c>
      <c r="E158" s="3" t="s">
        <v>24</v>
      </c>
      <c r="F158" s="21">
        <v>41603</v>
      </c>
      <c r="G158" s="3" t="s">
        <v>659</v>
      </c>
      <c r="H158" s="8">
        <v>6000000</v>
      </c>
      <c r="I158" s="8">
        <v>5888196</v>
      </c>
    </row>
    <row r="159" spans="1:11" x14ac:dyDescent="0.25">
      <c r="A159" s="42" t="s">
        <v>706</v>
      </c>
      <c r="B159" s="43"/>
      <c r="C159" s="43"/>
      <c r="D159" s="43"/>
      <c r="E159" s="43"/>
      <c r="F159" s="43"/>
      <c r="G159" s="43"/>
      <c r="H159" s="44"/>
      <c r="I159" s="8">
        <v>2119984.42</v>
      </c>
    </row>
    <row r="160" spans="1:11" ht="7.5" customHeight="1" x14ac:dyDescent="0.25"/>
    <row r="161" spans="1:11" x14ac:dyDescent="0.25">
      <c r="A161" s="46" t="s">
        <v>20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1:11" ht="63.75" customHeight="1" x14ac:dyDescent="0.25">
      <c r="A162" s="4" t="s">
        <v>0</v>
      </c>
      <c r="B162" s="5" t="s">
        <v>10</v>
      </c>
      <c r="C162" s="5" t="s">
        <v>9</v>
      </c>
      <c r="D162" s="5" t="s">
        <v>13</v>
      </c>
      <c r="E162" s="5" t="s">
        <v>12</v>
      </c>
      <c r="F162" s="5" t="s">
        <v>11</v>
      </c>
      <c r="G162" s="5" t="s">
        <v>18</v>
      </c>
      <c r="H162" s="5" t="s">
        <v>14</v>
      </c>
      <c r="I162" s="5" t="s">
        <v>15</v>
      </c>
      <c r="J162" s="5" t="s">
        <v>16</v>
      </c>
      <c r="K162" s="5" t="s">
        <v>17</v>
      </c>
    </row>
    <row r="163" spans="1:11" ht="48" x14ac:dyDescent="0.25">
      <c r="A163" s="3">
        <v>1</v>
      </c>
      <c r="B163" s="9" t="s">
        <v>40</v>
      </c>
      <c r="C163" s="10" t="str">
        <f>"1-2015/P+VP"</f>
        <v>1-2015/P+VP</v>
      </c>
      <c r="D163" s="10" t="str">
        <f t="shared" ref="D163:D188" si="7">CONCATENATE("1. Zajednica ponuditelja: ",CHAR(10),"    INSAKO D.O.O.",CHAR(10),"    PREMIUM D.O.O.")</f>
        <v>1. Zajednica ponuditelja: 
    INSAKO D.O.O.
    PREMIUM D.O.O.</v>
      </c>
      <c r="E163" s="11">
        <v>42006</v>
      </c>
      <c r="F163" s="11">
        <v>42333</v>
      </c>
      <c r="G163" s="8">
        <v>105189.9</v>
      </c>
      <c r="H163" s="11">
        <v>42333</v>
      </c>
      <c r="I163" s="8">
        <v>121281.1</v>
      </c>
      <c r="J163" s="13">
        <f>I163*1.25</f>
        <v>151601.375</v>
      </c>
      <c r="K163" s="6"/>
    </row>
    <row r="164" spans="1:11" ht="48" x14ac:dyDescent="0.25">
      <c r="A164" s="3">
        <v>2</v>
      </c>
      <c r="B164" s="9" t="s">
        <v>59</v>
      </c>
      <c r="C164" s="10" t="str">
        <f>"000116/2014"</f>
        <v>000116/2014</v>
      </c>
      <c r="D164" s="10" t="str">
        <f t="shared" si="7"/>
        <v>1. Zajednica ponuditelja: 
    INSAKO D.O.O.
    PREMIUM D.O.O.</v>
      </c>
      <c r="E164" s="11">
        <v>41695</v>
      </c>
      <c r="F164" s="11"/>
      <c r="G164" s="8">
        <v>6681.18</v>
      </c>
      <c r="H164" s="11"/>
      <c r="I164" s="8">
        <v>678.4</v>
      </c>
      <c r="J164" s="13">
        <f t="shared" ref="J164:J223" si="8">I164*1.25</f>
        <v>848</v>
      </c>
      <c r="K164" s="6"/>
    </row>
    <row r="165" spans="1:11" ht="48" x14ac:dyDescent="0.25">
      <c r="A165" s="3">
        <v>3</v>
      </c>
      <c r="B165" s="9" t="s">
        <v>58</v>
      </c>
      <c r="C165" s="10" t="str">
        <f>"10/2013-4-133"</f>
        <v>10/2013-4-133</v>
      </c>
      <c r="D165" s="10" t="str">
        <f t="shared" si="7"/>
        <v>1. Zajednica ponuditelja: 
    INSAKO D.O.O.
    PREMIUM D.O.O.</v>
      </c>
      <c r="E165" s="11">
        <v>41677</v>
      </c>
      <c r="F165" s="11">
        <v>42042</v>
      </c>
      <c r="G165" s="8">
        <v>13916.5</v>
      </c>
      <c r="H165" s="11">
        <v>42042</v>
      </c>
      <c r="I165" s="8">
        <v>0</v>
      </c>
      <c r="J165" s="13">
        <f t="shared" si="8"/>
        <v>0</v>
      </c>
      <c r="K165" s="6"/>
    </row>
    <row r="166" spans="1:11" ht="48" x14ac:dyDescent="0.25">
      <c r="A166" s="3">
        <v>4</v>
      </c>
      <c r="B166" s="9" t="s">
        <v>58</v>
      </c>
      <c r="C166" s="10" t="str">
        <f>"10/2013-4-134"</f>
        <v>10/2013-4-134</v>
      </c>
      <c r="D166" s="10" t="str">
        <f t="shared" si="7"/>
        <v>1. Zajednica ponuditelja: 
    INSAKO D.O.O.
    PREMIUM D.O.O.</v>
      </c>
      <c r="E166" s="11">
        <v>42043</v>
      </c>
      <c r="F166" s="11">
        <v>42335</v>
      </c>
      <c r="G166" s="8">
        <v>13916.5</v>
      </c>
      <c r="H166" s="11">
        <v>42335</v>
      </c>
      <c r="I166" s="8">
        <v>7309.96</v>
      </c>
      <c r="J166" s="13">
        <f t="shared" si="8"/>
        <v>9137.4500000000007</v>
      </c>
      <c r="K166" s="6"/>
    </row>
    <row r="167" spans="1:11" ht="48" x14ac:dyDescent="0.25">
      <c r="A167" s="3">
        <v>5</v>
      </c>
      <c r="B167" s="9" t="s">
        <v>42</v>
      </c>
      <c r="C167" s="10" t="str">
        <f>"SNUG-202-15-0004-2"</f>
        <v>SNUG-202-15-0004-2</v>
      </c>
      <c r="D167" s="10" t="str">
        <f t="shared" si="7"/>
        <v>1. Zajednica ponuditelja: 
    INSAKO D.O.O.
    PREMIUM D.O.O.</v>
      </c>
      <c r="E167" s="11">
        <v>42044</v>
      </c>
      <c r="F167" s="11">
        <v>42333</v>
      </c>
      <c r="G167" s="8">
        <v>123255.55</v>
      </c>
      <c r="H167" s="11">
        <v>42333</v>
      </c>
      <c r="I167" s="8">
        <v>123255.55</v>
      </c>
      <c r="J167" s="13">
        <f t="shared" si="8"/>
        <v>154069.4375</v>
      </c>
      <c r="K167" s="6"/>
    </row>
    <row r="168" spans="1:11" ht="48" x14ac:dyDescent="0.25">
      <c r="A168" s="3">
        <v>6</v>
      </c>
      <c r="B168" s="9" t="s">
        <v>25</v>
      </c>
      <c r="C168" s="10" t="str">
        <f>"10/2013-4-155"</f>
        <v>10/2013-4-155</v>
      </c>
      <c r="D168" s="10" t="str">
        <f t="shared" si="7"/>
        <v>1. Zajednica ponuditelja: 
    INSAKO D.O.O.
    PREMIUM D.O.O.</v>
      </c>
      <c r="E168" s="11">
        <v>41618</v>
      </c>
      <c r="F168" s="11">
        <v>42369</v>
      </c>
      <c r="G168" s="8">
        <v>49170.400000000001</v>
      </c>
      <c r="H168" s="11">
        <v>42369</v>
      </c>
      <c r="I168" s="8">
        <v>16685.990000000002</v>
      </c>
      <c r="J168" s="13">
        <f t="shared" si="8"/>
        <v>20857.487500000003</v>
      </c>
      <c r="K168" s="6"/>
    </row>
    <row r="169" spans="1:11" ht="48" x14ac:dyDescent="0.25">
      <c r="A169" s="3">
        <v>7</v>
      </c>
      <c r="B169" s="9" t="s">
        <v>39</v>
      </c>
      <c r="C169" s="10" t="str">
        <f>"106/3"</f>
        <v>106/3</v>
      </c>
      <c r="D169" s="10" t="str">
        <f t="shared" si="7"/>
        <v>1. Zajednica ponuditelja: 
    INSAKO D.O.O.
    PREMIUM D.O.O.</v>
      </c>
      <c r="E169" s="11">
        <v>41618</v>
      </c>
      <c r="F169" s="11">
        <v>42332</v>
      </c>
      <c r="G169" s="8">
        <v>97962.6</v>
      </c>
      <c r="H169" s="11">
        <v>42332</v>
      </c>
      <c r="I169" s="8">
        <v>103202.91</v>
      </c>
      <c r="J169" s="13">
        <f t="shared" si="8"/>
        <v>129003.63750000001</v>
      </c>
      <c r="K169" s="6"/>
    </row>
    <row r="170" spans="1:11" ht="48" x14ac:dyDescent="0.25">
      <c r="A170" s="3">
        <v>8</v>
      </c>
      <c r="B170" s="9" t="s">
        <v>41</v>
      </c>
      <c r="C170" s="10" t="str">
        <f>"1/14-DUSJN-I"</f>
        <v>1/14-DUSJN-I</v>
      </c>
      <c r="D170" s="10" t="str">
        <f t="shared" si="7"/>
        <v>1. Zajednica ponuditelja: 
    INSAKO D.O.O.
    PREMIUM D.O.O.</v>
      </c>
      <c r="E170" s="11">
        <v>41654</v>
      </c>
      <c r="F170" s="11">
        <v>42019</v>
      </c>
      <c r="G170" s="8">
        <v>13527.1</v>
      </c>
      <c r="H170" s="11">
        <v>42019</v>
      </c>
      <c r="I170" s="8">
        <v>7482.62</v>
      </c>
      <c r="J170" s="13">
        <f t="shared" si="8"/>
        <v>9353.2749999999996</v>
      </c>
      <c r="K170" s="6"/>
    </row>
    <row r="171" spans="1:11" ht="48" x14ac:dyDescent="0.25">
      <c r="A171" s="3">
        <v>9</v>
      </c>
      <c r="B171" s="9" t="s">
        <v>41</v>
      </c>
      <c r="C171" s="10" t="str">
        <f>"1/2015-DUSJN-1"</f>
        <v>1/2015-DUSJN-1</v>
      </c>
      <c r="D171" s="10" t="str">
        <f t="shared" si="7"/>
        <v>1. Zajednica ponuditelja: 
    INSAKO D.O.O.
    PREMIUM D.O.O.</v>
      </c>
      <c r="E171" s="11">
        <v>42020</v>
      </c>
      <c r="F171" s="11">
        <v>42385</v>
      </c>
      <c r="G171" s="8">
        <v>13119.45</v>
      </c>
      <c r="H171" s="11">
        <v>42385</v>
      </c>
      <c r="I171" s="8">
        <v>8058.01</v>
      </c>
      <c r="J171" s="13">
        <f t="shared" si="8"/>
        <v>10072.512500000001</v>
      </c>
      <c r="K171" s="6"/>
    </row>
    <row r="172" spans="1:11" ht="48" x14ac:dyDescent="0.25">
      <c r="A172" s="3">
        <v>10</v>
      </c>
      <c r="B172" s="9" t="s">
        <v>34</v>
      </c>
      <c r="C172" s="10" t="str">
        <f>"13/UZOP/2014"</f>
        <v>13/UZOP/2014</v>
      </c>
      <c r="D172" s="10" t="str">
        <f t="shared" si="7"/>
        <v>1. Zajednica ponuditelja: 
    INSAKO D.O.O.
    PREMIUM D.O.O.</v>
      </c>
      <c r="E172" s="11">
        <v>41691</v>
      </c>
      <c r="F172" s="11">
        <v>42056</v>
      </c>
      <c r="G172" s="8">
        <v>73495.8</v>
      </c>
      <c r="H172" s="11">
        <v>42056</v>
      </c>
      <c r="I172" s="8">
        <v>67400.78</v>
      </c>
      <c r="J172" s="13">
        <f t="shared" si="8"/>
        <v>84250.975000000006</v>
      </c>
      <c r="K172" s="6"/>
    </row>
    <row r="173" spans="1:11" ht="48" x14ac:dyDescent="0.25">
      <c r="A173" s="3">
        <v>11</v>
      </c>
      <c r="B173" s="9" t="s">
        <v>37</v>
      </c>
      <c r="C173" s="10" t="str">
        <f>"10/2013-4-145"</f>
        <v>10/2013-4-145</v>
      </c>
      <c r="D173" s="10" t="str">
        <f t="shared" si="7"/>
        <v>1. Zajednica ponuditelja: 
    INSAKO D.O.O.
    PREMIUM D.O.O.</v>
      </c>
      <c r="E173" s="11">
        <v>41691</v>
      </c>
      <c r="F173" s="11">
        <v>42056</v>
      </c>
      <c r="G173" s="8">
        <v>35109.4</v>
      </c>
      <c r="H173" s="11">
        <v>42056</v>
      </c>
      <c r="I173" s="8">
        <v>2002.6</v>
      </c>
      <c r="J173" s="13">
        <f t="shared" si="8"/>
        <v>2503.25</v>
      </c>
      <c r="K173" s="6"/>
    </row>
    <row r="174" spans="1:11" ht="48" x14ac:dyDescent="0.25">
      <c r="A174" s="3">
        <v>12</v>
      </c>
      <c r="B174" s="9" t="s">
        <v>34</v>
      </c>
      <c r="C174" s="10" t="str">
        <f>"16/UZOP/2015"</f>
        <v>16/UZOP/2015</v>
      </c>
      <c r="D174" s="10" t="str">
        <f t="shared" si="7"/>
        <v>1. Zajednica ponuditelja: 
    INSAKO D.O.O.
    PREMIUM D.O.O.</v>
      </c>
      <c r="E174" s="11">
        <v>42058</v>
      </c>
      <c r="F174" s="11">
        <v>42333</v>
      </c>
      <c r="G174" s="8">
        <v>84725.05</v>
      </c>
      <c r="H174" s="11">
        <v>42333</v>
      </c>
      <c r="I174" s="8">
        <v>37230.449999999997</v>
      </c>
      <c r="J174" s="13">
        <f t="shared" si="8"/>
        <v>46538.0625</v>
      </c>
      <c r="K174" s="6"/>
    </row>
    <row r="175" spans="1:11" ht="48" x14ac:dyDescent="0.25">
      <c r="A175" s="3">
        <v>13</v>
      </c>
      <c r="B175" s="9" t="s">
        <v>37</v>
      </c>
      <c r="C175" s="10" t="str">
        <f>"18/UPRHPUTEMUZOP-A/2015"</f>
        <v>18/UPRHPUTEMUZOP-A/2015</v>
      </c>
      <c r="D175" s="10" t="str">
        <f t="shared" si="7"/>
        <v>1. Zajednica ponuditelja: 
    INSAKO D.O.O.
    PREMIUM D.O.O.</v>
      </c>
      <c r="E175" s="11">
        <v>42058</v>
      </c>
      <c r="F175" s="11">
        <v>42333</v>
      </c>
      <c r="G175" s="8">
        <v>35109.4</v>
      </c>
      <c r="H175" s="11">
        <v>42333</v>
      </c>
      <c r="I175" s="8">
        <v>12522.7</v>
      </c>
      <c r="J175" s="13">
        <f t="shared" si="8"/>
        <v>15653.375</v>
      </c>
      <c r="K175" s="6"/>
    </row>
    <row r="176" spans="1:11" ht="48" x14ac:dyDescent="0.25">
      <c r="A176" s="3">
        <v>14</v>
      </c>
      <c r="B176" s="9" t="s">
        <v>42</v>
      </c>
      <c r="C176" s="10" t="str">
        <f>"SNUG-202-15-0054"</f>
        <v>SNUG-202-15-0054</v>
      </c>
      <c r="D176" s="10" t="str">
        <f t="shared" si="7"/>
        <v>1. Zajednica ponuditelja: 
    INSAKO D.O.O.
    PREMIUM D.O.O.</v>
      </c>
      <c r="E176" s="11">
        <v>42300</v>
      </c>
      <c r="F176" s="11">
        <v>42369</v>
      </c>
      <c r="G176" s="8">
        <v>207720.28</v>
      </c>
      <c r="H176" s="11">
        <v>42369</v>
      </c>
      <c r="I176" s="8">
        <v>207720.28</v>
      </c>
      <c r="J176" s="13">
        <f t="shared" si="8"/>
        <v>259650.35</v>
      </c>
      <c r="K176" s="6"/>
    </row>
    <row r="177" spans="1:11" ht="48" x14ac:dyDescent="0.25">
      <c r="A177" s="3">
        <v>15</v>
      </c>
      <c r="B177" s="9" t="s">
        <v>42</v>
      </c>
      <c r="C177" s="10" t="str">
        <f>"SNUG-202-15-0054-2"</f>
        <v>SNUG-202-15-0054-2</v>
      </c>
      <c r="D177" s="10" t="str">
        <f t="shared" si="7"/>
        <v>1. Zajednica ponuditelja: 
    INSAKO D.O.O.
    PREMIUM D.O.O.</v>
      </c>
      <c r="E177" s="11">
        <v>42300</v>
      </c>
      <c r="F177" s="11">
        <v>42369</v>
      </c>
      <c r="G177" s="8">
        <v>147270.26999999999</v>
      </c>
      <c r="H177" s="11">
        <v>42369</v>
      </c>
      <c r="I177" s="8">
        <v>147270.26999999999</v>
      </c>
      <c r="J177" s="13">
        <f t="shared" si="8"/>
        <v>184087.83749999999</v>
      </c>
      <c r="K177" s="6"/>
    </row>
    <row r="178" spans="1:11" ht="48" x14ac:dyDescent="0.25">
      <c r="A178" s="3">
        <v>16</v>
      </c>
      <c r="B178" s="9" t="s">
        <v>60</v>
      </c>
      <c r="C178" s="10" t="str">
        <f>"10/2013-4-8"</f>
        <v>10/2013-4-8</v>
      </c>
      <c r="D178" s="10" t="str">
        <f t="shared" si="7"/>
        <v>1. Zajednica ponuditelja: 
    INSAKO D.O.O.
    PREMIUM D.O.O.</v>
      </c>
      <c r="E178" s="11">
        <v>41632</v>
      </c>
      <c r="F178" s="11">
        <v>42362</v>
      </c>
      <c r="G178" s="8">
        <v>0</v>
      </c>
      <c r="H178" s="11">
        <v>42362</v>
      </c>
      <c r="I178" s="8">
        <v>395658.91</v>
      </c>
      <c r="J178" s="13">
        <f t="shared" si="8"/>
        <v>494573.63749999995</v>
      </c>
      <c r="K178" s="6"/>
    </row>
    <row r="179" spans="1:11" ht="48" x14ac:dyDescent="0.25">
      <c r="A179" s="3">
        <v>17</v>
      </c>
      <c r="B179" s="9" t="s">
        <v>38</v>
      </c>
      <c r="C179" s="10" t="str">
        <f>"MV-1/2014"</f>
        <v>MV-1/2014</v>
      </c>
      <c r="D179" s="10" t="str">
        <f t="shared" si="7"/>
        <v>1. Zajednica ponuditelja: 
    INSAKO D.O.O.
    PREMIUM D.O.O.</v>
      </c>
      <c r="E179" s="11">
        <v>41697</v>
      </c>
      <c r="F179" s="11">
        <v>42333</v>
      </c>
      <c r="G179" s="8">
        <v>208165.26</v>
      </c>
      <c r="H179" s="11">
        <v>42333</v>
      </c>
      <c r="I179" s="8">
        <v>131801</v>
      </c>
      <c r="J179" s="13">
        <f t="shared" si="8"/>
        <v>164751.25</v>
      </c>
      <c r="K179" s="6"/>
    </row>
    <row r="180" spans="1:11" ht="48" x14ac:dyDescent="0.25">
      <c r="A180" s="3">
        <v>18</v>
      </c>
      <c r="B180" s="9" t="s">
        <v>46</v>
      </c>
      <c r="C180" s="10" t="str">
        <f>"42036"</f>
        <v>42036</v>
      </c>
      <c r="D180" s="10" t="str">
        <f t="shared" si="7"/>
        <v>1. Zajednica ponuditelja: 
    INSAKO D.O.O.
    PREMIUM D.O.O.</v>
      </c>
      <c r="E180" s="11">
        <v>42090</v>
      </c>
      <c r="F180" s="11">
        <v>42369</v>
      </c>
      <c r="G180" s="8">
        <v>62310.6</v>
      </c>
      <c r="H180" s="11">
        <v>42369</v>
      </c>
      <c r="I180" s="8">
        <v>51310.400000000001</v>
      </c>
      <c r="J180" s="13">
        <f t="shared" si="8"/>
        <v>64138</v>
      </c>
      <c r="K180" s="6"/>
    </row>
    <row r="181" spans="1:11" ht="48" x14ac:dyDescent="0.25">
      <c r="A181" s="3">
        <v>19</v>
      </c>
      <c r="B181" s="9" t="s">
        <v>29</v>
      </c>
      <c r="C181" s="10" t="str">
        <f>"10/2013-4-10"</f>
        <v>10/2013-4-10</v>
      </c>
      <c r="D181" s="10" t="str">
        <f t="shared" si="7"/>
        <v>1. Zajednica ponuditelja: 
    INSAKO D.O.O.
    PREMIUM D.O.O.</v>
      </c>
      <c r="E181" s="11">
        <v>41670</v>
      </c>
      <c r="F181" s="11">
        <v>42333</v>
      </c>
      <c r="G181" s="8">
        <v>72471</v>
      </c>
      <c r="H181" s="11">
        <v>42333</v>
      </c>
      <c r="I181" s="8">
        <v>40696.839999999997</v>
      </c>
      <c r="J181" s="13">
        <f t="shared" si="8"/>
        <v>50871.049999999996</v>
      </c>
      <c r="K181" s="6"/>
    </row>
    <row r="182" spans="1:11" ht="48" x14ac:dyDescent="0.25">
      <c r="A182" s="3">
        <v>20</v>
      </c>
      <c r="B182" s="9" t="s">
        <v>33</v>
      </c>
      <c r="C182" s="10" t="str">
        <f>"10/2013-4-12"</f>
        <v>10/2013-4-12</v>
      </c>
      <c r="D182" s="10" t="str">
        <f t="shared" si="7"/>
        <v>1. Zajednica ponuditelja: 
    INSAKO D.O.O.
    PREMIUM D.O.O.</v>
      </c>
      <c r="E182" s="11">
        <v>41670</v>
      </c>
      <c r="F182" s="11">
        <v>42035</v>
      </c>
      <c r="G182" s="8">
        <v>31377</v>
      </c>
      <c r="H182" s="11">
        <v>42035</v>
      </c>
      <c r="I182" s="8">
        <v>25566.16</v>
      </c>
      <c r="J182" s="13">
        <f t="shared" si="8"/>
        <v>31957.7</v>
      </c>
      <c r="K182" s="6"/>
    </row>
    <row r="183" spans="1:11" ht="48" x14ac:dyDescent="0.25">
      <c r="A183" s="3">
        <v>21</v>
      </c>
      <c r="B183" s="9" t="s">
        <v>61</v>
      </c>
      <c r="C183" s="10" t="str">
        <f>"GRUPA 3 POTROŠNI"</f>
        <v>GRUPA 3 POTROŠNI</v>
      </c>
      <c r="D183" s="10" t="str">
        <f t="shared" si="7"/>
        <v>1. Zajednica ponuditelja: 
    INSAKO D.O.O.
    PREMIUM D.O.O.</v>
      </c>
      <c r="E183" s="11">
        <v>42005</v>
      </c>
      <c r="F183" s="11">
        <v>42369</v>
      </c>
      <c r="G183" s="8">
        <v>2725.28</v>
      </c>
      <c r="H183" s="11">
        <v>42369</v>
      </c>
      <c r="I183" s="8">
        <v>2725.28</v>
      </c>
      <c r="J183" s="13">
        <f t="shared" si="8"/>
        <v>3406.6000000000004</v>
      </c>
      <c r="K183" s="6"/>
    </row>
    <row r="184" spans="1:11" ht="48" x14ac:dyDescent="0.25">
      <c r="A184" s="3">
        <v>22</v>
      </c>
      <c r="B184" s="9" t="s">
        <v>45</v>
      </c>
      <c r="C184" s="10" t="str">
        <f>"10/2013-4-U2"</f>
        <v>10/2013-4-U2</v>
      </c>
      <c r="D184" s="10" t="str">
        <f t="shared" si="7"/>
        <v>1. Zajednica ponuditelja: 
    INSAKO D.O.O.
    PREMIUM D.O.O.</v>
      </c>
      <c r="E184" s="11">
        <v>42026</v>
      </c>
      <c r="F184" s="11"/>
      <c r="G184" s="8">
        <v>2986.11</v>
      </c>
      <c r="H184" s="11"/>
      <c r="I184" s="8">
        <v>687.76</v>
      </c>
      <c r="J184" s="13">
        <f t="shared" si="8"/>
        <v>859.7</v>
      </c>
      <c r="K184" s="6"/>
    </row>
    <row r="185" spans="1:11" ht="48" x14ac:dyDescent="0.25">
      <c r="A185" s="3">
        <v>23</v>
      </c>
      <c r="B185" s="9" t="s">
        <v>48</v>
      </c>
      <c r="C185" s="10" t="str">
        <f>" 206/2015-1"</f>
        <v xml:space="preserve"> 206/2015-1</v>
      </c>
      <c r="D185" s="10" t="str">
        <f t="shared" si="7"/>
        <v>1. Zajednica ponuditelja: 
    INSAKO D.O.O.
    PREMIUM D.O.O.</v>
      </c>
      <c r="E185" s="11">
        <v>42312</v>
      </c>
      <c r="F185" s="11"/>
      <c r="G185" s="8">
        <v>853.77</v>
      </c>
      <c r="H185" s="11"/>
      <c r="I185" s="8">
        <v>853.77</v>
      </c>
      <c r="J185" s="13">
        <f t="shared" si="8"/>
        <v>1067.2125000000001</v>
      </c>
      <c r="K185" s="6"/>
    </row>
    <row r="186" spans="1:11" ht="48" x14ac:dyDescent="0.25">
      <c r="A186" s="3">
        <v>24</v>
      </c>
      <c r="B186" s="9" t="s">
        <v>49</v>
      </c>
      <c r="C186" s="10" t="str">
        <f>"64/2015"</f>
        <v>64/2015</v>
      </c>
      <c r="D186" s="10" t="str">
        <f t="shared" si="7"/>
        <v>1. Zajednica ponuditelja: 
    INSAKO D.O.O.
    PREMIUM D.O.O.</v>
      </c>
      <c r="E186" s="11">
        <v>42032</v>
      </c>
      <c r="F186" s="11"/>
      <c r="G186" s="8">
        <v>132.9</v>
      </c>
      <c r="H186" s="11"/>
      <c r="I186" s="8">
        <v>132.9</v>
      </c>
      <c r="J186" s="13">
        <f t="shared" si="8"/>
        <v>166.125</v>
      </c>
      <c r="K186" s="6"/>
    </row>
    <row r="187" spans="1:11" ht="48" x14ac:dyDescent="0.25">
      <c r="A187" s="3">
        <v>25</v>
      </c>
      <c r="B187" s="9" t="s">
        <v>49</v>
      </c>
      <c r="C187" s="10" t="str">
        <f>"133/2015"</f>
        <v>133/2015</v>
      </c>
      <c r="D187" s="10" t="str">
        <f t="shared" si="7"/>
        <v>1. Zajednica ponuditelja: 
    INSAKO D.O.O.
    PREMIUM D.O.O.</v>
      </c>
      <c r="E187" s="11">
        <v>42051</v>
      </c>
      <c r="F187" s="11"/>
      <c r="G187" s="8">
        <v>470</v>
      </c>
      <c r="H187" s="11"/>
      <c r="I187" s="8">
        <v>470</v>
      </c>
      <c r="J187" s="13">
        <f t="shared" si="8"/>
        <v>587.5</v>
      </c>
      <c r="K187" s="6"/>
    </row>
    <row r="188" spans="1:11" ht="48" x14ac:dyDescent="0.25">
      <c r="A188" s="3">
        <v>26</v>
      </c>
      <c r="B188" s="9" t="s">
        <v>43</v>
      </c>
      <c r="C188" s="10" t="str">
        <f>"MRMS-POTR4-2015"</f>
        <v>MRMS-POTR4-2015</v>
      </c>
      <c r="D188" s="10" t="str">
        <f t="shared" si="7"/>
        <v>1. Zajednica ponuditelja: 
    INSAKO D.O.O.
    PREMIUM D.O.O.</v>
      </c>
      <c r="E188" s="11">
        <v>42005</v>
      </c>
      <c r="F188" s="11">
        <v>42369</v>
      </c>
      <c r="G188" s="8">
        <v>1194.8</v>
      </c>
      <c r="H188" s="11">
        <v>42369</v>
      </c>
      <c r="I188" s="8">
        <v>1194.8</v>
      </c>
      <c r="J188" s="13">
        <f t="shared" si="8"/>
        <v>1493.5</v>
      </c>
      <c r="K188" s="6"/>
    </row>
    <row r="189" spans="1:11" ht="48" x14ac:dyDescent="0.25">
      <c r="A189" s="3">
        <v>27</v>
      </c>
      <c r="B189" s="9" t="s">
        <v>31</v>
      </c>
      <c r="C189" s="10" t="str">
        <f>"NAR2015-VG4"</f>
        <v>NAR2015-VG4</v>
      </c>
      <c r="D189" s="10" t="str">
        <f>CONCATENATE("1. Zajednica ponuditelja: ",CHAR(10),"    PREMIUM D.O.O.",CHAR(10),"    PREMIUM D.O.O.")</f>
        <v>1. Zajednica ponuditelja: 
    PREMIUM D.O.O.
    PREMIUM D.O.O.</v>
      </c>
      <c r="E189" s="11">
        <v>42369</v>
      </c>
      <c r="F189" s="11"/>
      <c r="G189" s="8">
        <v>30508</v>
      </c>
      <c r="H189" s="11"/>
      <c r="I189" s="8">
        <v>30508</v>
      </c>
      <c r="J189" s="13">
        <f t="shared" si="8"/>
        <v>38135</v>
      </c>
      <c r="K189" s="6"/>
    </row>
    <row r="190" spans="1:11" ht="48" x14ac:dyDescent="0.25">
      <c r="A190" s="3">
        <v>28</v>
      </c>
      <c r="B190" s="9" t="s">
        <v>32</v>
      </c>
      <c r="C190" s="10" t="str">
        <f>"920-07/14-13/09"</f>
        <v>920-07/14-13/09</v>
      </c>
      <c r="D190" s="10" t="str">
        <f>CONCATENATE("1. Zajednica ponuditelja: ",CHAR(10),"    PREMIUM D.O.O.",CHAR(10),"    PREMIUM D.O.O.")</f>
        <v>1. Zajednica ponuditelja: 
    PREMIUM D.O.O.
    PREMIUM D.O.O.</v>
      </c>
      <c r="E190" s="11">
        <v>41694</v>
      </c>
      <c r="F190" s="11"/>
      <c r="G190" s="8">
        <v>24641.5</v>
      </c>
      <c r="H190" s="11"/>
      <c r="I190" s="8">
        <v>7373</v>
      </c>
      <c r="J190" s="13">
        <f t="shared" si="8"/>
        <v>9216.25</v>
      </c>
      <c r="K190" s="6"/>
    </row>
    <row r="191" spans="1:11" ht="48" x14ac:dyDescent="0.25">
      <c r="A191" s="3">
        <v>29</v>
      </c>
      <c r="B191" s="9" t="s">
        <v>68</v>
      </c>
      <c r="C191" s="10" t="str">
        <f>"OS-01/14"</f>
        <v>OS-01/14</v>
      </c>
      <c r="D191" s="10" t="str">
        <f t="shared" ref="D191:D196" si="9">CONCATENATE("1. Zajednica ponuditelja: ",CHAR(10),"    INSAKO D.O.O.",CHAR(10),"    PREMIUM D.O.O.")</f>
        <v>1. Zajednica ponuditelja: 
    INSAKO D.O.O.
    PREMIUM D.O.O.</v>
      </c>
      <c r="E191" s="11">
        <v>41744</v>
      </c>
      <c r="F191" s="11">
        <v>42455</v>
      </c>
      <c r="G191" s="8">
        <v>1860</v>
      </c>
      <c r="H191" s="11">
        <v>42455</v>
      </c>
      <c r="I191" s="8">
        <v>1586</v>
      </c>
      <c r="J191" s="13">
        <f t="shared" si="8"/>
        <v>1982.5</v>
      </c>
      <c r="K191" s="6"/>
    </row>
    <row r="192" spans="1:11" ht="48" x14ac:dyDescent="0.25">
      <c r="A192" s="3">
        <v>30</v>
      </c>
      <c r="B192" s="9" t="s">
        <v>69</v>
      </c>
      <c r="C192" s="10" t="str">
        <f>"2/2015"</f>
        <v>2/2015</v>
      </c>
      <c r="D192" s="10" t="str">
        <f t="shared" si="9"/>
        <v>1. Zajednica ponuditelja: 
    INSAKO D.O.O.
    PREMIUM D.O.O.</v>
      </c>
      <c r="E192" s="11">
        <v>42006</v>
      </c>
      <c r="F192" s="11">
        <v>42369</v>
      </c>
      <c r="G192" s="8">
        <v>10933.82</v>
      </c>
      <c r="H192" s="11">
        <v>42369</v>
      </c>
      <c r="I192" s="8">
        <v>15934.72</v>
      </c>
      <c r="J192" s="13">
        <f t="shared" si="8"/>
        <v>19918.399999999998</v>
      </c>
      <c r="K192" s="6"/>
    </row>
    <row r="193" spans="1:11" ht="48" x14ac:dyDescent="0.25">
      <c r="A193" s="3">
        <v>31</v>
      </c>
      <c r="B193" s="9" t="s">
        <v>70</v>
      </c>
      <c r="C193" s="10" t="str">
        <f>"0N-01-2014"</f>
        <v>0N-01-2014</v>
      </c>
      <c r="D193" s="10" t="str">
        <f t="shared" si="9"/>
        <v>1. Zajednica ponuditelja: 
    INSAKO D.O.O.
    PREMIUM D.O.O.</v>
      </c>
      <c r="E193" s="11">
        <v>42369</v>
      </c>
      <c r="F193" s="11"/>
      <c r="G193" s="8">
        <v>27033.9</v>
      </c>
      <c r="H193" s="11"/>
      <c r="I193" s="8">
        <v>17334.11</v>
      </c>
      <c r="J193" s="13">
        <f t="shared" si="8"/>
        <v>21667.637500000001</v>
      </c>
      <c r="K193" s="6"/>
    </row>
    <row r="194" spans="1:11" ht="48" x14ac:dyDescent="0.25">
      <c r="A194" s="3">
        <v>32</v>
      </c>
      <c r="B194" s="9" t="s">
        <v>71</v>
      </c>
      <c r="C194" s="10" t="str">
        <f>"ON-01-2014"</f>
        <v>ON-01-2014</v>
      </c>
      <c r="D194" s="10" t="str">
        <f t="shared" si="9"/>
        <v>1. Zajednica ponuditelja: 
    INSAKO D.O.O.
    PREMIUM D.O.O.</v>
      </c>
      <c r="E194" s="11">
        <v>41663</v>
      </c>
      <c r="F194" s="11"/>
      <c r="G194" s="8">
        <v>49263.1</v>
      </c>
      <c r="H194" s="11"/>
      <c r="I194" s="8">
        <v>25926</v>
      </c>
      <c r="J194" s="13">
        <f t="shared" si="8"/>
        <v>32407.5</v>
      </c>
      <c r="K194" s="6"/>
    </row>
    <row r="195" spans="1:11" ht="48" x14ac:dyDescent="0.25">
      <c r="A195" s="3">
        <v>33</v>
      </c>
      <c r="B195" s="9" t="s">
        <v>71</v>
      </c>
      <c r="C195" s="10" t="str">
        <f>"ON-02-2014"</f>
        <v>ON-02-2014</v>
      </c>
      <c r="D195" s="10" t="str">
        <f t="shared" si="9"/>
        <v>1. Zajednica ponuditelja: 
    INSAKO D.O.O.
    PREMIUM D.O.O.</v>
      </c>
      <c r="E195" s="11">
        <v>41603</v>
      </c>
      <c r="F195" s="11"/>
      <c r="G195" s="8">
        <v>69499.520000000004</v>
      </c>
      <c r="H195" s="11"/>
      <c r="I195" s="8">
        <v>38572.83</v>
      </c>
      <c r="J195" s="13">
        <f t="shared" si="8"/>
        <v>48216.037500000006</v>
      </c>
      <c r="K195" s="6"/>
    </row>
    <row r="196" spans="1:11" ht="48" x14ac:dyDescent="0.25">
      <c r="A196" s="3">
        <v>34</v>
      </c>
      <c r="B196" s="9" t="s">
        <v>46</v>
      </c>
      <c r="C196" s="10" t="str">
        <f>"333-07/14-01/03-3"</f>
        <v>333-07/14-01/03-3</v>
      </c>
      <c r="D196" s="10" t="str">
        <f t="shared" si="9"/>
        <v>1. Zajednica ponuditelja: 
    INSAKO D.O.O.
    PREMIUM D.O.O.</v>
      </c>
      <c r="E196" s="11">
        <v>42090</v>
      </c>
      <c r="F196" s="11"/>
      <c r="G196" s="8">
        <v>100266.08</v>
      </c>
      <c r="H196" s="11"/>
      <c r="I196" s="8">
        <v>87310.18</v>
      </c>
      <c r="J196" s="13">
        <f t="shared" si="8"/>
        <v>109137.72499999999</v>
      </c>
      <c r="K196" s="6"/>
    </row>
    <row r="197" spans="1:11" ht="48" x14ac:dyDescent="0.25">
      <c r="A197" s="3">
        <v>35</v>
      </c>
      <c r="B197" s="9" t="s">
        <v>28</v>
      </c>
      <c r="C197" s="10" t="str">
        <f>"MGPU 10/2013-4"</f>
        <v>MGPU 10/2013-4</v>
      </c>
      <c r="D197" s="10" t="str">
        <f>CONCATENATE("1. Zajednica ponuditelja: ",CHAR(10),"    PREMIUM D.O.O.",CHAR(10),"    PREMIUM D.O.O.")</f>
        <v>1. Zajednica ponuditelja: 
    PREMIUM D.O.O.
    PREMIUM D.O.O.</v>
      </c>
      <c r="E197" s="11">
        <v>42024</v>
      </c>
      <c r="F197" s="11">
        <v>42333</v>
      </c>
      <c r="G197" s="8">
        <v>9388.9</v>
      </c>
      <c r="H197" s="11">
        <v>42333</v>
      </c>
      <c r="I197" s="8">
        <v>1119.06</v>
      </c>
      <c r="J197" s="13">
        <f t="shared" si="8"/>
        <v>1398.8249999999998</v>
      </c>
      <c r="K197" s="6"/>
    </row>
    <row r="198" spans="1:11" ht="48" x14ac:dyDescent="0.25">
      <c r="A198" s="3">
        <v>36</v>
      </c>
      <c r="B198" s="9" t="s">
        <v>59</v>
      </c>
      <c r="C198" s="10" t="str">
        <f>"000120/2015"</f>
        <v>000120/2015</v>
      </c>
      <c r="D198" s="10" t="str">
        <f t="shared" ref="D198:D214" si="10">CONCATENATE("1. Zajednica ponuditelja: ",CHAR(10),"    INSAKO D.O.O.",CHAR(10),"    PREMIUM D.O.O.")</f>
        <v>1. Zajednica ponuditelja: 
    INSAKO D.O.O.
    PREMIUM D.O.O.</v>
      </c>
      <c r="E198" s="11">
        <v>42080</v>
      </c>
      <c r="F198" s="11"/>
      <c r="G198" s="8">
        <v>111.7</v>
      </c>
      <c r="H198" s="11"/>
      <c r="I198" s="8">
        <v>111.7</v>
      </c>
      <c r="J198" s="13">
        <f t="shared" si="8"/>
        <v>139.625</v>
      </c>
      <c r="K198" s="6"/>
    </row>
    <row r="199" spans="1:11" ht="48" x14ac:dyDescent="0.25">
      <c r="A199" s="3">
        <v>37</v>
      </c>
      <c r="B199" s="9" t="s">
        <v>59</v>
      </c>
      <c r="C199" s="10" t="str">
        <f>"000210/2015"</f>
        <v>000210/2015</v>
      </c>
      <c r="D199" s="10" t="str">
        <f t="shared" si="10"/>
        <v>1. Zajednica ponuditelja: 
    INSAKO D.O.O.
    PREMIUM D.O.O.</v>
      </c>
      <c r="E199" s="11">
        <v>42128</v>
      </c>
      <c r="F199" s="11"/>
      <c r="G199" s="8">
        <v>177</v>
      </c>
      <c r="H199" s="11"/>
      <c r="I199" s="8">
        <v>177</v>
      </c>
      <c r="J199" s="13">
        <f t="shared" si="8"/>
        <v>221.25</v>
      </c>
      <c r="K199" s="6"/>
    </row>
    <row r="200" spans="1:11" ht="48" x14ac:dyDescent="0.25">
      <c r="A200" s="3">
        <v>38</v>
      </c>
      <c r="B200" s="9" t="s">
        <v>59</v>
      </c>
      <c r="C200" s="10" t="str">
        <f>"000214/2015"</f>
        <v>000214/2015</v>
      </c>
      <c r="D200" s="10" t="str">
        <f t="shared" si="10"/>
        <v>1. Zajednica ponuditelja: 
    INSAKO D.O.O.
    PREMIUM D.O.O.</v>
      </c>
      <c r="E200" s="11">
        <v>42130</v>
      </c>
      <c r="F200" s="11"/>
      <c r="G200" s="8">
        <v>319.7</v>
      </c>
      <c r="H200" s="11"/>
      <c r="I200" s="8">
        <v>319.7</v>
      </c>
      <c r="J200" s="13">
        <f t="shared" si="8"/>
        <v>399.625</v>
      </c>
      <c r="K200" s="6"/>
    </row>
    <row r="201" spans="1:11" ht="48" x14ac:dyDescent="0.25">
      <c r="A201" s="3">
        <v>39</v>
      </c>
      <c r="B201" s="9" t="s">
        <v>59</v>
      </c>
      <c r="C201" s="10" t="str">
        <f>"000279/2015"</f>
        <v>000279/2015</v>
      </c>
      <c r="D201" s="10" t="str">
        <f t="shared" si="10"/>
        <v>1. Zajednica ponuditelja: 
    INSAKO D.O.O.
    PREMIUM D.O.O.</v>
      </c>
      <c r="E201" s="11">
        <v>42163</v>
      </c>
      <c r="F201" s="11"/>
      <c r="G201" s="8">
        <v>205</v>
      </c>
      <c r="H201" s="11"/>
      <c r="I201" s="8">
        <v>205</v>
      </c>
      <c r="J201" s="13">
        <f t="shared" si="8"/>
        <v>256.25</v>
      </c>
      <c r="K201" s="6"/>
    </row>
    <row r="202" spans="1:11" ht="48" x14ac:dyDescent="0.25">
      <c r="A202" s="3">
        <v>40</v>
      </c>
      <c r="B202" s="9" t="s">
        <v>59</v>
      </c>
      <c r="C202" s="10" t="str">
        <f>"000320/2015"</f>
        <v>000320/2015</v>
      </c>
      <c r="D202" s="10" t="str">
        <f t="shared" si="10"/>
        <v>1. Zajednica ponuditelja: 
    INSAKO D.O.O.
    PREMIUM D.O.O.</v>
      </c>
      <c r="E202" s="11">
        <v>42200</v>
      </c>
      <c r="F202" s="11"/>
      <c r="G202" s="8">
        <v>397.8</v>
      </c>
      <c r="H202" s="11"/>
      <c r="I202" s="8">
        <v>397.8</v>
      </c>
      <c r="J202" s="13">
        <f t="shared" si="8"/>
        <v>497.25</v>
      </c>
      <c r="K202" s="6"/>
    </row>
    <row r="203" spans="1:11" ht="48" x14ac:dyDescent="0.25">
      <c r="A203" s="3">
        <v>41</v>
      </c>
      <c r="B203" s="9" t="s">
        <v>59</v>
      </c>
      <c r="C203" s="10" t="str">
        <f>"000370/2015"</f>
        <v>000370/2015</v>
      </c>
      <c r="D203" s="10" t="str">
        <f t="shared" si="10"/>
        <v>1. Zajednica ponuditelja: 
    INSAKO D.O.O.
    PREMIUM D.O.O.</v>
      </c>
      <c r="E203" s="11">
        <v>42258</v>
      </c>
      <c r="F203" s="11"/>
      <c r="G203" s="8">
        <v>117.8</v>
      </c>
      <c r="H203" s="11"/>
      <c r="I203" s="8">
        <v>117.8</v>
      </c>
      <c r="J203" s="13">
        <f t="shared" si="8"/>
        <v>147.25</v>
      </c>
      <c r="K203" s="6"/>
    </row>
    <row r="204" spans="1:11" ht="48" x14ac:dyDescent="0.25">
      <c r="A204" s="3">
        <v>42</v>
      </c>
      <c r="B204" s="9" t="s">
        <v>59</v>
      </c>
      <c r="C204" s="10" t="str">
        <f>"000424/2015"</f>
        <v>000424/2015</v>
      </c>
      <c r="D204" s="10" t="str">
        <f t="shared" si="10"/>
        <v>1. Zajednica ponuditelja: 
    INSAKO D.O.O.
    PREMIUM D.O.O.</v>
      </c>
      <c r="E204" s="11">
        <v>42290</v>
      </c>
      <c r="F204" s="11"/>
      <c r="G204" s="8">
        <v>319.5</v>
      </c>
      <c r="H204" s="11"/>
      <c r="I204" s="8">
        <v>319.5</v>
      </c>
      <c r="J204" s="13">
        <f t="shared" si="8"/>
        <v>399.375</v>
      </c>
      <c r="K204" s="6"/>
    </row>
    <row r="205" spans="1:11" ht="48" x14ac:dyDescent="0.25">
      <c r="A205" s="3">
        <v>43</v>
      </c>
      <c r="B205" s="9" t="s">
        <v>59</v>
      </c>
      <c r="C205" s="10" t="str">
        <f>"000517/2015"</f>
        <v>000517/2015</v>
      </c>
      <c r="D205" s="10" t="str">
        <f t="shared" si="10"/>
        <v>1. Zajednica ponuditelja: 
    INSAKO D.O.O.
    PREMIUM D.O.O.</v>
      </c>
      <c r="E205" s="11">
        <v>42326</v>
      </c>
      <c r="F205" s="11"/>
      <c r="G205" s="8">
        <v>1099.4000000000001</v>
      </c>
      <c r="H205" s="11"/>
      <c r="I205" s="8">
        <v>1099.4000000000001</v>
      </c>
      <c r="J205" s="13">
        <f t="shared" si="8"/>
        <v>1374.25</v>
      </c>
      <c r="K205" s="6"/>
    </row>
    <row r="206" spans="1:11" ht="48" x14ac:dyDescent="0.25">
      <c r="A206" s="3">
        <v>44</v>
      </c>
      <c r="B206" s="9" t="s">
        <v>42</v>
      </c>
      <c r="C206" s="10" t="str">
        <f>"SNUG-202-15-0035-2"</f>
        <v>SNUG-202-15-0035-2</v>
      </c>
      <c r="D206" s="10" t="str">
        <f t="shared" si="10"/>
        <v>1. Zajednica ponuditelja: 
    INSAKO D.O.O.
    PREMIUM D.O.O.</v>
      </c>
      <c r="E206" s="11">
        <v>42115</v>
      </c>
      <c r="F206" s="11">
        <v>42369</v>
      </c>
      <c r="G206" s="8">
        <v>126146.3</v>
      </c>
      <c r="H206" s="11">
        <v>42369</v>
      </c>
      <c r="I206" s="8">
        <v>126146.3</v>
      </c>
      <c r="J206" s="13">
        <f t="shared" si="8"/>
        <v>157682.875</v>
      </c>
      <c r="K206" s="6"/>
    </row>
    <row r="207" spans="1:11" ht="48" x14ac:dyDescent="0.25">
      <c r="A207" s="3">
        <v>45</v>
      </c>
      <c r="B207" s="9" t="s">
        <v>51</v>
      </c>
      <c r="C207" s="10" t="str">
        <f>"178 DO 2726"</f>
        <v>178 DO 2726</v>
      </c>
      <c r="D207" s="10" t="str">
        <f t="shared" si="10"/>
        <v>1. Zajednica ponuditelja: 
    INSAKO D.O.O.
    PREMIUM D.O.O.</v>
      </c>
      <c r="E207" s="11">
        <v>42031</v>
      </c>
      <c r="F207" s="11">
        <v>42321</v>
      </c>
      <c r="G207" s="8">
        <v>13056.68</v>
      </c>
      <c r="H207" s="11">
        <v>42321</v>
      </c>
      <c r="I207" s="8">
        <v>13056.68</v>
      </c>
      <c r="J207" s="13">
        <f t="shared" si="8"/>
        <v>16320.85</v>
      </c>
      <c r="K207" s="6"/>
    </row>
    <row r="208" spans="1:11" ht="48" x14ac:dyDescent="0.25">
      <c r="A208" s="3">
        <v>46</v>
      </c>
      <c r="B208" s="9" t="s">
        <v>69</v>
      </c>
      <c r="C208" s="10" t="str">
        <f>"1/2015"</f>
        <v>1/2015</v>
      </c>
      <c r="D208" s="10" t="str">
        <f t="shared" si="10"/>
        <v>1. Zajednica ponuditelja: 
    INSAKO D.O.O.
    PREMIUM D.O.O.</v>
      </c>
      <c r="E208" s="11">
        <v>42006</v>
      </c>
      <c r="F208" s="11">
        <v>42333</v>
      </c>
      <c r="G208" s="8">
        <v>5258</v>
      </c>
      <c r="H208" s="11">
        <v>42333</v>
      </c>
      <c r="I208" s="8">
        <v>6215.18</v>
      </c>
      <c r="J208" s="13">
        <f t="shared" si="8"/>
        <v>7768.9750000000004</v>
      </c>
      <c r="K208" s="6"/>
    </row>
    <row r="209" spans="1:11" ht="48" x14ac:dyDescent="0.25">
      <c r="A209" s="3">
        <v>47</v>
      </c>
      <c r="B209" s="9" t="s">
        <v>69</v>
      </c>
      <c r="C209" s="10" t="str">
        <f>"3-2015"</f>
        <v>3-2015</v>
      </c>
      <c r="D209" s="10" t="str">
        <f t="shared" si="10"/>
        <v>1. Zajednica ponuditelja: 
    INSAKO D.O.O.
    PREMIUM D.O.O.</v>
      </c>
      <c r="E209" s="11">
        <v>42006</v>
      </c>
      <c r="F209" s="11">
        <v>42369</v>
      </c>
      <c r="G209" s="8">
        <v>1968</v>
      </c>
      <c r="H209" s="11">
        <v>42369</v>
      </c>
      <c r="I209" s="8">
        <v>1650.9</v>
      </c>
      <c r="J209" s="13">
        <f t="shared" si="8"/>
        <v>2063.625</v>
      </c>
      <c r="K209" s="6"/>
    </row>
    <row r="210" spans="1:11" ht="48" x14ac:dyDescent="0.25">
      <c r="A210" s="3">
        <v>48</v>
      </c>
      <c r="B210" s="9" t="s">
        <v>54</v>
      </c>
      <c r="C210" s="10" t="str">
        <f>"10/2013-4-136"</f>
        <v>10/2013-4-136</v>
      </c>
      <c r="D210" s="10" t="str">
        <f t="shared" si="10"/>
        <v>1. Zajednica ponuditelja: 
    INSAKO D.O.O.
    PREMIUM D.O.O.</v>
      </c>
      <c r="E210" s="11">
        <v>42006</v>
      </c>
      <c r="F210" s="11">
        <v>42333</v>
      </c>
      <c r="G210" s="8">
        <v>10083.799999999999</v>
      </c>
      <c r="H210" s="11">
        <v>42333</v>
      </c>
      <c r="I210" s="8">
        <v>9603.94</v>
      </c>
      <c r="J210" s="13">
        <f t="shared" si="8"/>
        <v>12004.925000000001</v>
      </c>
      <c r="K210" s="6"/>
    </row>
    <row r="211" spans="1:11" ht="48" x14ac:dyDescent="0.25">
      <c r="A211" s="3">
        <v>49</v>
      </c>
      <c r="B211" s="9" t="s">
        <v>55</v>
      </c>
      <c r="C211" s="10" t="str">
        <f>"O-15"</f>
        <v>O-15</v>
      </c>
      <c r="D211" s="10" t="str">
        <f t="shared" si="10"/>
        <v>1. Zajednica ponuditelja: 
    INSAKO D.O.O.
    PREMIUM D.O.O.</v>
      </c>
      <c r="E211" s="11">
        <v>42005</v>
      </c>
      <c r="F211" s="11">
        <v>42333</v>
      </c>
      <c r="G211" s="8">
        <v>16278.22</v>
      </c>
      <c r="H211" s="11">
        <v>42333</v>
      </c>
      <c r="I211" s="8">
        <v>16278.22</v>
      </c>
      <c r="J211" s="13">
        <f t="shared" si="8"/>
        <v>20347.774999999998</v>
      </c>
      <c r="K211" s="6"/>
    </row>
    <row r="212" spans="1:11" ht="48" x14ac:dyDescent="0.25">
      <c r="A212" s="3">
        <v>50</v>
      </c>
      <c r="B212" s="9" t="s">
        <v>61</v>
      </c>
      <c r="C212" s="10" t="str">
        <f>"10/2013"</f>
        <v>10/2013</v>
      </c>
      <c r="D212" s="10" t="str">
        <f t="shared" si="10"/>
        <v>1. Zajednica ponuditelja: 
    INSAKO D.O.O.
    PREMIUM D.O.O.</v>
      </c>
      <c r="E212" s="11">
        <v>42005</v>
      </c>
      <c r="F212" s="11">
        <v>42369</v>
      </c>
      <c r="G212" s="8">
        <v>1344.94</v>
      </c>
      <c r="H212" s="11">
        <v>42369</v>
      </c>
      <c r="I212" s="8">
        <v>1344.94</v>
      </c>
      <c r="J212" s="13">
        <f t="shared" si="8"/>
        <v>1681.1750000000002</v>
      </c>
      <c r="K212" s="6"/>
    </row>
    <row r="213" spans="1:11" ht="48" x14ac:dyDescent="0.25">
      <c r="A213" s="3">
        <v>51</v>
      </c>
      <c r="B213" s="9" t="s">
        <v>26</v>
      </c>
      <c r="C213" s="10" t="str">
        <f>"09/2015"</f>
        <v>09/2015</v>
      </c>
      <c r="D213" s="10" t="str">
        <f t="shared" si="10"/>
        <v>1. Zajednica ponuditelja: 
    INSAKO D.O.O.
    PREMIUM D.O.O.</v>
      </c>
      <c r="E213" s="11">
        <v>42005</v>
      </c>
      <c r="F213" s="11">
        <v>42333</v>
      </c>
      <c r="G213" s="8">
        <v>9253.2000000000007</v>
      </c>
      <c r="H213" s="11">
        <v>42333</v>
      </c>
      <c r="I213" s="8">
        <v>5445.06</v>
      </c>
      <c r="J213" s="13">
        <f t="shared" si="8"/>
        <v>6806.3250000000007</v>
      </c>
      <c r="K213" s="6"/>
    </row>
    <row r="214" spans="1:11" ht="48" customHeight="1" x14ac:dyDescent="0.25">
      <c r="A214" s="3">
        <v>52</v>
      </c>
      <c r="B214" s="9" t="s">
        <v>62</v>
      </c>
      <c r="C214" s="10" t="str">
        <f>"030-01/15-01/8(4)"</f>
        <v>030-01/15-01/8(4)</v>
      </c>
      <c r="D214" s="10" t="str">
        <f t="shared" si="10"/>
        <v>1. Zajednica ponuditelja: 
    INSAKO D.O.O.
    PREMIUM D.O.O.</v>
      </c>
      <c r="E214" s="11">
        <v>42423</v>
      </c>
      <c r="F214" s="11">
        <v>42333</v>
      </c>
      <c r="G214" s="8">
        <v>0</v>
      </c>
      <c r="H214" s="11">
        <v>42333</v>
      </c>
      <c r="I214" s="8">
        <v>3128.95</v>
      </c>
      <c r="J214" s="13">
        <f t="shared" si="8"/>
        <v>3911.1875</v>
      </c>
      <c r="K214" s="6"/>
    </row>
    <row r="215" spans="1:11" ht="48" x14ac:dyDescent="0.25">
      <c r="A215" s="3">
        <v>53</v>
      </c>
      <c r="B215" s="9" t="s">
        <v>53</v>
      </c>
      <c r="C215" s="10" t="str">
        <f>"10/2013-4-MB"</f>
        <v>10/2013-4-MB</v>
      </c>
      <c r="D215" s="10" t="str">
        <f t="shared" ref="D215:D221" si="11">CONCATENATE("1. Zajednica ponuditelja: ",CHAR(10),"    INSAKO D.O.O.",CHAR(10),"    PREMIUM D.O.O.")</f>
        <v>1. Zajednica ponuditelja: 
    INSAKO D.O.O.
    PREMIUM D.O.O.</v>
      </c>
      <c r="E215" s="11">
        <v>42005</v>
      </c>
      <c r="F215" s="11">
        <v>42369</v>
      </c>
      <c r="G215" s="8">
        <v>0</v>
      </c>
      <c r="H215" s="11">
        <v>42369</v>
      </c>
      <c r="I215" s="8">
        <v>10540.77</v>
      </c>
      <c r="J215" s="13">
        <f t="shared" si="8"/>
        <v>13175.962500000001</v>
      </c>
      <c r="K215" s="6"/>
    </row>
    <row r="216" spans="1:11" ht="48" x14ac:dyDescent="0.25">
      <c r="A216" s="3">
        <v>54</v>
      </c>
      <c r="B216" s="9" t="s">
        <v>72</v>
      </c>
      <c r="C216" s="10" t="str">
        <f>"NN-01/15"</f>
        <v>NN-01/15</v>
      </c>
      <c r="D216" s="10" t="str">
        <f t="shared" si="11"/>
        <v>1. Zajednica ponuditelja: 
    INSAKO D.O.O.
    PREMIUM D.O.O.</v>
      </c>
      <c r="E216" s="11">
        <v>42005</v>
      </c>
      <c r="F216" s="11">
        <v>42369</v>
      </c>
      <c r="G216" s="8">
        <v>2144</v>
      </c>
      <c r="H216" s="11">
        <v>42369</v>
      </c>
      <c r="I216" s="8">
        <v>2142.88</v>
      </c>
      <c r="J216" s="13">
        <f t="shared" si="8"/>
        <v>2678.6000000000004</v>
      </c>
      <c r="K216" s="6"/>
    </row>
    <row r="217" spans="1:11" ht="48" x14ac:dyDescent="0.25">
      <c r="A217" s="3">
        <v>55</v>
      </c>
      <c r="B217" s="9" t="s">
        <v>70</v>
      </c>
      <c r="C217" s="10" t="str">
        <f>"UGOVOR O JAVNOJ NABAVI PAPIRNA"</f>
        <v>UGOVOR O JAVNOJ NABAVI PAPIRNA</v>
      </c>
      <c r="D217" s="10" t="str">
        <f t="shared" si="11"/>
        <v>1. Zajednica ponuditelja: 
    INSAKO D.O.O.
    PREMIUM D.O.O.</v>
      </c>
      <c r="E217" s="11">
        <v>42044</v>
      </c>
      <c r="F217" s="11">
        <v>42369</v>
      </c>
      <c r="G217" s="8">
        <v>8275</v>
      </c>
      <c r="H217" s="11">
        <v>42369</v>
      </c>
      <c r="I217" s="8">
        <v>7597.6</v>
      </c>
      <c r="J217" s="13">
        <f t="shared" si="8"/>
        <v>9497</v>
      </c>
      <c r="K217" s="6"/>
    </row>
    <row r="218" spans="1:11" ht="48" x14ac:dyDescent="0.25">
      <c r="A218" s="3">
        <v>56</v>
      </c>
      <c r="B218" s="9" t="s">
        <v>68</v>
      </c>
      <c r="C218" s="10" t="str">
        <f>"OS-03/15"</f>
        <v>OS-03/15</v>
      </c>
      <c r="D218" s="10" t="str">
        <f t="shared" si="11"/>
        <v>1. Zajednica ponuditelja: 
    INSAKO D.O.O.
    PREMIUM D.O.O.</v>
      </c>
      <c r="E218" s="11">
        <v>42003</v>
      </c>
      <c r="F218" s="11">
        <v>42369</v>
      </c>
      <c r="G218" s="8">
        <v>13303.79</v>
      </c>
      <c r="H218" s="11">
        <v>42369</v>
      </c>
      <c r="I218" s="8">
        <v>9625.6299999999992</v>
      </c>
      <c r="J218" s="13">
        <f t="shared" si="8"/>
        <v>12032.037499999999</v>
      </c>
      <c r="K218" s="6"/>
    </row>
    <row r="219" spans="1:11" ht="48" x14ac:dyDescent="0.25">
      <c r="A219" s="3">
        <v>57</v>
      </c>
      <c r="B219" s="9" t="s">
        <v>68</v>
      </c>
      <c r="C219" s="10" t="str">
        <f>"OS-04/15"</f>
        <v>OS-04/15</v>
      </c>
      <c r="D219" s="10" t="str">
        <f t="shared" si="11"/>
        <v>1. Zajednica ponuditelja: 
    INSAKO D.O.O.
    PREMIUM D.O.O.</v>
      </c>
      <c r="E219" s="11">
        <v>42003</v>
      </c>
      <c r="F219" s="11">
        <v>42369</v>
      </c>
      <c r="G219" s="8">
        <v>17644.55</v>
      </c>
      <c r="H219" s="11">
        <v>42369</v>
      </c>
      <c r="I219" s="8">
        <v>5430.5</v>
      </c>
      <c r="J219" s="13">
        <f t="shared" si="8"/>
        <v>6788.125</v>
      </c>
      <c r="K219" s="6"/>
    </row>
    <row r="220" spans="1:11" ht="48" x14ac:dyDescent="0.25">
      <c r="A220" s="3">
        <v>58</v>
      </c>
      <c r="B220" s="9" t="s">
        <v>70</v>
      </c>
      <c r="C220" s="10" t="str">
        <f>"UGOVOR O JAVNOJ NABAVI"</f>
        <v>UGOVOR O JAVNOJ NABAVI</v>
      </c>
      <c r="D220" s="10" t="str">
        <f t="shared" si="11"/>
        <v>1. Zajednica ponuditelja: 
    INSAKO D.O.O.
    PREMIUM D.O.O.</v>
      </c>
      <c r="E220" s="11">
        <v>42044</v>
      </c>
      <c r="F220" s="11">
        <v>42369</v>
      </c>
      <c r="G220" s="8">
        <v>34811.06</v>
      </c>
      <c r="H220" s="11">
        <v>42369</v>
      </c>
      <c r="I220" s="8">
        <v>27543.15</v>
      </c>
      <c r="J220" s="13">
        <f t="shared" si="8"/>
        <v>34428.9375</v>
      </c>
      <c r="K220" s="6"/>
    </row>
    <row r="221" spans="1:11" ht="48" x14ac:dyDescent="0.25">
      <c r="A221" s="3">
        <v>59</v>
      </c>
      <c r="B221" s="9" t="s">
        <v>72</v>
      </c>
      <c r="C221" s="10" t="str">
        <f>"406-01/13-01/46"</f>
        <v>406-01/13-01/46</v>
      </c>
      <c r="D221" s="10" t="str">
        <f t="shared" si="11"/>
        <v>1. Zajednica ponuditelja: 
    INSAKO D.O.O.
    PREMIUM D.O.O.</v>
      </c>
      <c r="E221" s="11">
        <v>41705</v>
      </c>
      <c r="F221" s="11">
        <v>42333</v>
      </c>
      <c r="G221" s="8">
        <v>33167.300000000003</v>
      </c>
      <c r="H221" s="11">
        <v>42333</v>
      </c>
      <c r="I221" s="8">
        <v>9897.76</v>
      </c>
      <c r="J221" s="13">
        <f t="shared" si="8"/>
        <v>12372.2</v>
      </c>
      <c r="K221" s="6"/>
    </row>
    <row r="222" spans="1:11" ht="48" x14ac:dyDescent="0.25">
      <c r="A222" s="3">
        <v>60</v>
      </c>
      <c r="B222" s="9" t="s">
        <v>72</v>
      </c>
      <c r="C222" s="10" t="str">
        <f>"406-01/13-01/76"</f>
        <v>406-01/13-01/76</v>
      </c>
      <c r="D222" s="10" t="str">
        <f>CONCATENATE("1. Zajednica ponuditelja: ",CHAR(10),"    PREMIUM D.O.O.",CHAR(10),"    PREMIUM D.O.O.")</f>
        <v>1. Zajednica ponuditelja: 
    PREMIUM D.O.O.
    PREMIUM D.O.O.</v>
      </c>
      <c r="E222" s="11">
        <v>41702</v>
      </c>
      <c r="F222" s="11">
        <v>42395</v>
      </c>
      <c r="G222" s="8">
        <v>51313.3</v>
      </c>
      <c r="H222" s="11">
        <v>42395</v>
      </c>
      <c r="I222" s="8">
        <v>16483.45</v>
      </c>
      <c r="J222" s="13">
        <f t="shared" si="8"/>
        <v>20604.3125</v>
      </c>
      <c r="K222" s="6"/>
    </row>
    <row r="223" spans="1:11" ht="48" x14ac:dyDescent="0.25">
      <c r="A223" s="3">
        <v>61</v>
      </c>
      <c r="B223" s="9" t="s">
        <v>73</v>
      </c>
      <c r="C223" s="10" t="str">
        <f>"3/2013"</f>
        <v>3/2013</v>
      </c>
      <c r="D223" s="10" t="str">
        <f>CONCATENATE("1. Zajednica ponuditelja: ",CHAR(10),"    INSAKO D.O.O.",CHAR(10),"    PREMIUM D.O.O.")</f>
        <v>1. Zajednica ponuditelja: 
    INSAKO D.O.O.
    PREMIUM D.O.O.</v>
      </c>
      <c r="E223" s="11">
        <v>42426</v>
      </c>
      <c r="F223" s="11"/>
      <c r="G223" s="8">
        <v>40000</v>
      </c>
      <c r="H223" s="11"/>
      <c r="I223" s="8">
        <v>46679.44</v>
      </c>
      <c r="J223" s="13">
        <f t="shared" si="8"/>
        <v>58349.3</v>
      </c>
      <c r="K223" s="6"/>
    </row>
    <row r="224" spans="1:11" ht="48" x14ac:dyDescent="0.25">
      <c r="A224" s="3">
        <v>62</v>
      </c>
      <c r="B224" s="9" t="s">
        <v>74</v>
      </c>
      <c r="C224" s="10" t="str">
        <f>"10/2013-4 ZP"</f>
        <v>10/2013-4 ZP</v>
      </c>
      <c r="D224" s="10" t="str">
        <f>CONCATENATE("1. Zajednica ponuditelja: ",CHAR(10),"    INSAKO D.O.O.",CHAR(10),"    PREMIUM D.O.O.")</f>
        <v>1. Zajednica ponuditelja: 
    INSAKO D.O.O.
    PREMIUM D.O.O.</v>
      </c>
      <c r="E224" s="11">
        <v>42426</v>
      </c>
      <c r="F224" s="11">
        <v>42392</v>
      </c>
      <c r="G224" s="8">
        <v>40000</v>
      </c>
      <c r="H224" s="11">
        <v>42392</v>
      </c>
      <c r="I224" s="8">
        <v>59561.83</v>
      </c>
      <c r="J224" s="13">
        <f t="shared" ref="J224" si="12">I224*1.25</f>
        <v>74452.287500000006</v>
      </c>
      <c r="K224" s="6"/>
    </row>
  </sheetData>
  <sheetProtection algorithmName="SHA-512" hashValue="/y21xbDaGMtm4yGA8eErCKSjcMvOCam9qd7t/eboqz2z2zkC1Ery75KPEGFhkcmZL1KTZ15eVU0XhE4J3qGftA==" saltValue="ViwQ11x+eYo+z+PiKZ6v1g==" spinCount="100000" sheet="1" objects="1" scenarios="1"/>
  <mergeCells count="9">
    <mergeCell ref="A159:H159"/>
    <mergeCell ref="A161:K161"/>
    <mergeCell ref="A93:K93"/>
    <mergeCell ref="A1:I1"/>
    <mergeCell ref="A6:K6"/>
    <mergeCell ref="A4:H4"/>
    <mergeCell ref="A61:H61"/>
    <mergeCell ref="A63:K63"/>
    <mergeCell ref="A91:H91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D153 D222 D137:D138 D197" formula="1"/>
    <ignoredError sqref="C12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128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132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25.5" x14ac:dyDescent="0.25">
      <c r="A3" s="3">
        <v>1</v>
      </c>
      <c r="B3" s="31" t="s">
        <v>663</v>
      </c>
      <c r="C3" s="3" t="s">
        <v>133</v>
      </c>
      <c r="D3" s="3" t="s">
        <v>683</v>
      </c>
      <c r="E3" s="3" t="s">
        <v>24</v>
      </c>
      <c r="F3" s="21">
        <v>42167</v>
      </c>
      <c r="G3" s="3" t="s">
        <v>659</v>
      </c>
      <c r="H3" s="13">
        <v>23800000</v>
      </c>
      <c r="I3" s="13">
        <v>28585802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13434949.18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x14ac:dyDescent="0.25">
      <c r="A8" s="3">
        <v>1</v>
      </c>
      <c r="B8" s="14" t="s">
        <v>49</v>
      </c>
      <c r="C8" s="15" t="str">
        <f>"1254/2015"</f>
        <v>1254/2015</v>
      </c>
      <c r="D8" s="15" t="str">
        <f t="shared" ref="D8:D48" si="0">CONCATENATE("KING ICT D.O.O.")</f>
        <v>KING ICT D.O.O.</v>
      </c>
      <c r="E8" s="16">
        <v>42353</v>
      </c>
      <c r="F8" s="16"/>
      <c r="G8" s="13">
        <v>17480</v>
      </c>
      <c r="H8" s="16"/>
      <c r="I8" s="13">
        <v>17480</v>
      </c>
      <c r="J8" s="13">
        <f>I8*1.25</f>
        <v>21850</v>
      </c>
      <c r="K8" s="6"/>
    </row>
    <row r="9" spans="1:11" x14ac:dyDescent="0.25">
      <c r="A9" s="3">
        <v>2</v>
      </c>
      <c r="B9" s="14" t="s">
        <v>49</v>
      </c>
      <c r="C9" s="15" t="str">
        <f>"1233/2015"</f>
        <v>1233/2015</v>
      </c>
      <c r="D9" s="15" t="str">
        <f t="shared" si="0"/>
        <v>KING ICT D.O.O.</v>
      </c>
      <c r="E9" s="16">
        <v>42353</v>
      </c>
      <c r="F9" s="16"/>
      <c r="G9" s="13">
        <v>17480</v>
      </c>
      <c r="H9" s="16"/>
      <c r="I9" s="13">
        <v>17480</v>
      </c>
      <c r="J9" s="13">
        <f t="shared" ref="J9:J51" si="1">I9*1.25</f>
        <v>21850</v>
      </c>
      <c r="K9" s="6"/>
    </row>
    <row r="10" spans="1:11" ht="36" x14ac:dyDescent="0.25">
      <c r="A10" s="3">
        <v>3</v>
      </c>
      <c r="B10" s="14" t="s">
        <v>99</v>
      </c>
      <c r="C10" s="15" t="str">
        <f>"NAR/2015-ZAKONODAVSTVO-GRUPA 1"</f>
        <v>NAR/2015-ZAKONODAVSTVO-GRUPA 1</v>
      </c>
      <c r="D10" s="15" t="str">
        <f t="shared" si="0"/>
        <v>KING ICT D.O.O.</v>
      </c>
      <c r="E10" s="16">
        <v>42167</v>
      </c>
      <c r="F10" s="16">
        <v>42369</v>
      </c>
      <c r="G10" s="13">
        <v>5069</v>
      </c>
      <c r="H10" s="16">
        <v>42369</v>
      </c>
      <c r="I10" s="13">
        <v>5069</v>
      </c>
      <c r="J10" s="13">
        <f t="shared" si="1"/>
        <v>6336.25</v>
      </c>
      <c r="K10" s="6"/>
    </row>
    <row r="11" spans="1:11" ht="36" x14ac:dyDescent="0.25">
      <c r="A11" s="3">
        <v>4</v>
      </c>
      <c r="B11" s="14" t="s">
        <v>106</v>
      </c>
      <c r="C11" s="15" t="str">
        <f>"NAR/2015-REVIZIJA-GRUPA 1"</f>
        <v>NAR/2015-REVIZIJA-GRUPA 1</v>
      </c>
      <c r="D11" s="15" t="str">
        <f t="shared" si="0"/>
        <v>KING ICT D.O.O.</v>
      </c>
      <c r="E11" s="16">
        <v>42167</v>
      </c>
      <c r="F11" s="16">
        <v>42369</v>
      </c>
      <c r="G11" s="13">
        <v>3496</v>
      </c>
      <c r="H11" s="16">
        <v>42369</v>
      </c>
      <c r="I11" s="13">
        <v>3496</v>
      </c>
      <c r="J11" s="13">
        <f t="shared" si="1"/>
        <v>4370</v>
      </c>
      <c r="K11" s="6"/>
    </row>
    <row r="12" spans="1:11" ht="36" x14ac:dyDescent="0.25">
      <c r="A12" s="3">
        <v>5</v>
      </c>
      <c r="B12" s="14" t="s">
        <v>107</v>
      </c>
      <c r="C12" s="15" t="str">
        <f>"NAR/2015-RAVNOPRAVNOST-GRUPA1"</f>
        <v>NAR/2015-RAVNOPRAVNOST-GRUPA1</v>
      </c>
      <c r="D12" s="15" t="str">
        <f t="shared" si="0"/>
        <v>KING ICT D.O.O.</v>
      </c>
      <c r="E12" s="16">
        <v>42167</v>
      </c>
      <c r="F12" s="16">
        <v>42369</v>
      </c>
      <c r="G12" s="13">
        <v>3989</v>
      </c>
      <c r="H12" s="16">
        <v>42369</v>
      </c>
      <c r="I12" s="13">
        <v>3989</v>
      </c>
      <c r="J12" s="13">
        <f t="shared" si="1"/>
        <v>4986.25</v>
      </c>
      <c r="K12" s="6"/>
    </row>
    <row r="13" spans="1:11" ht="36" x14ac:dyDescent="0.25">
      <c r="A13" s="3">
        <v>6</v>
      </c>
      <c r="B13" s="14" t="s">
        <v>100</v>
      </c>
      <c r="C13" s="15" t="str">
        <f>"NAR/2015-PROTOKOL-GRUPA 1"</f>
        <v>NAR/2015-PROTOKOL-GRUPA 1</v>
      </c>
      <c r="D13" s="15" t="str">
        <f t="shared" si="0"/>
        <v>KING ICT D.O.O.</v>
      </c>
      <c r="E13" s="16">
        <v>42167</v>
      </c>
      <c r="F13" s="16">
        <v>42369</v>
      </c>
      <c r="G13" s="13">
        <v>7978</v>
      </c>
      <c r="H13" s="16">
        <v>42369</v>
      </c>
      <c r="I13" s="13">
        <v>7978</v>
      </c>
      <c r="J13" s="13">
        <f t="shared" si="1"/>
        <v>9972.5</v>
      </c>
      <c r="K13" s="6"/>
    </row>
    <row r="14" spans="1:11" ht="24" x14ac:dyDescent="0.25">
      <c r="A14" s="3">
        <v>7</v>
      </c>
      <c r="B14" s="14" t="s">
        <v>114</v>
      </c>
      <c r="C14" s="15" t="str">
        <f>"NAR/2015-UKOVZ-GRUPA 1"</f>
        <v>NAR/2015-UKOVZ-GRUPA 1</v>
      </c>
      <c r="D14" s="15" t="str">
        <f t="shared" si="0"/>
        <v>KING ICT D.O.O.</v>
      </c>
      <c r="E14" s="16">
        <v>42167</v>
      </c>
      <c r="F14" s="16">
        <v>42369</v>
      </c>
      <c r="G14" s="13">
        <v>1312.8</v>
      </c>
      <c r="H14" s="16">
        <v>42369</v>
      </c>
      <c r="I14" s="13">
        <v>1312.8</v>
      </c>
      <c r="J14" s="13">
        <f t="shared" si="1"/>
        <v>1641</v>
      </c>
      <c r="K14" s="6"/>
    </row>
    <row r="15" spans="1:11" ht="24" x14ac:dyDescent="0.25">
      <c r="A15" s="3">
        <v>8</v>
      </c>
      <c r="B15" s="14" t="s">
        <v>86</v>
      </c>
      <c r="C15" s="15" t="str">
        <f>"NAR/2015-DIDU-GRUPA 1"</f>
        <v>NAR/2015-DIDU-GRUPA 1</v>
      </c>
      <c r="D15" s="15" t="str">
        <f t="shared" si="0"/>
        <v>KING ICT D.O.O.</v>
      </c>
      <c r="E15" s="16">
        <v>42167</v>
      </c>
      <c r="F15" s="16">
        <v>42369</v>
      </c>
      <c r="G15" s="13">
        <v>25040</v>
      </c>
      <c r="H15" s="16">
        <v>42369</v>
      </c>
      <c r="I15" s="13">
        <v>25040</v>
      </c>
      <c r="J15" s="13">
        <f t="shared" si="1"/>
        <v>31300</v>
      </c>
      <c r="K15" s="6"/>
    </row>
    <row r="16" spans="1:11" ht="36" x14ac:dyDescent="0.25">
      <c r="A16" s="3">
        <v>9</v>
      </c>
      <c r="B16" s="14" t="s">
        <v>34</v>
      </c>
      <c r="C16" s="15" t="str">
        <f>"NAR/2015-UZOP-GRUPA 1"</f>
        <v>NAR/2015-UZOP-GRUPA 1</v>
      </c>
      <c r="D16" s="15" t="str">
        <f t="shared" si="0"/>
        <v>KING ICT D.O.O.</v>
      </c>
      <c r="E16" s="16">
        <v>42167</v>
      </c>
      <c r="F16" s="16">
        <v>42369</v>
      </c>
      <c r="G16" s="13">
        <v>27174</v>
      </c>
      <c r="H16" s="16">
        <v>42369</v>
      </c>
      <c r="I16" s="13">
        <v>27174</v>
      </c>
      <c r="J16" s="13">
        <f t="shared" si="1"/>
        <v>33967.5</v>
      </c>
      <c r="K16" s="6"/>
    </row>
    <row r="17" spans="1:11" ht="24" x14ac:dyDescent="0.25">
      <c r="A17" s="3">
        <v>10</v>
      </c>
      <c r="B17" s="14" t="s">
        <v>82</v>
      </c>
      <c r="C17" s="15" t="str">
        <f>"NAR/2015-HS-GRUPA 1"</f>
        <v>NAR/2015-HS-GRUPA 1</v>
      </c>
      <c r="D17" s="15" t="str">
        <f t="shared" si="0"/>
        <v>KING ICT D.O.O.</v>
      </c>
      <c r="E17" s="16">
        <v>42167</v>
      </c>
      <c r="F17" s="16">
        <v>42369</v>
      </c>
      <c r="G17" s="13">
        <v>183040</v>
      </c>
      <c r="H17" s="16">
        <v>42369</v>
      </c>
      <c r="I17" s="13">
        <v>183040</v>
      </c>
      <c r="J17" s="13">
        <f t="shared" si="1"/>
        <v>228800</v>
      </c>
      <c r="K17" s="6"/>
    </row>
    <row r="18" spans="1:11" ht="24" x14ac:dyDescent="0.25">
      <c r="A18" s="3">
        <v>11</v>
      </c>
      <c r="B18" s="14" t="s">
        <v>28</v>
      </c>
      <c r="C18" s="15" t="str">
        <f>"NARU 2/2015-1"</f>
        <v>NARU 2/2015-1</v>
      </c>
      <c r="D18" s="15" t="str">
        <f t="shared" si="0"/>
        <v>KING ICT D.O.O.</v>
      </c>
      <c r="E18" s="16">
        <v>42293</v>
      </c>
      <c r="F18" s="16"/>
      <c r="G18" s="13">
        <v>63824</v>
      </c>
      <c r="H18" s="16"/>
      <c r="I18" s="13">
        <v>63824</v>
      </c>
      <c r="J18" s="13">
        <f t="shared" si="1"/>
        <v>79780</v>
      </c>
      <c r="K18" s="6"/>
    </row>
    <row r="19" spans="1:11" ht="24" x14ac:dyDescent="0.25">
      <c r="A19" s="3">
        <v>12</v>
      </c>
      <c r="B19" s="14" t="s">
        <v>30</v>
      </c>
      <c r="C19" s="15" t="str">
        <f>"510-A-A-0048/15-21"</f>
        <v>510-A-A-0048/15-21</v>
      </c>
      <c r="D19" s="15" t="str">
        <f t="shared" si="0"/>
        <v>KING ICT D.O.O.</v>
      </c>
      <c r="E19" s="16">
        <v>42167</v>
      </c>
      <c r="F19" s="16"/>
      <c r="G19" s="13">
        <v>196768</v>
      </c>
      <c r="H19" s="16"/>
      <c r="I19" s="13">
        <v>196768</v>
      </c>
      <c r="J19" s="13">
        <f t="shared" si="1"/>
        <v>245960</v>
      </c>
      <c r="K19" s="6"/>
    </row>
    <row r="20" spans="1:11" ht="24" x14ac:dyDescent="0.25">
      <c r="A20" s="3">
        <v>13</v>
      </c>
      <c r="B20" s="14" t="s">
        <v>27</v>
      </c>
      <c r="C20" s="15" t="str">
        <f>"027/JK/2015"</f>
        <v>027/JK/2015</v>
      </c>
      <c r="D20" s="15" t="str">
        <f t="shared" si="0"/>
        <v>KING ICT D.O.O.</v>
      </c>
      <c r="E20" s="16">
        <v>42333</v>
      </c>
      <c r="F20" s="16"/>
      <c r="G20" s="13">
        <v>169488</v>
      </c>
      <c r="H20" s="16"/>
      <c r="I20" s="13">
        <v>169488</v>
      </c>
      <c r="J20" s="13">
        <f t="shared" si="1"/>
        <v>211860</v>
      </c>
      <c r="K20" s="6"/>
    </row>
    <row r="21" spans="1:11" x14ac:dyDescent="0.25">
      <c r="A21" s="3">
        <v>14</v>
      </c>
      <c r="B21" s="14" t="s">
        <v>49</v>
      </c>
      <c r="C21" s="15" t="str">
        <f>"1050/2015"</f>
        <v>1050/2015</v>
      </c>
      <c r="D21" s="15" t="str">
        <f t="shared" si="0"/>
        <v>KING ICT D.O.O.</v>
      </c>
      <c r="E21" s="16">
        <v>42297</v>
      </c>
      <c r="F21" s="16"/>
      <c r="G21" s="13">
        <v>8958.4</v>
      </c>
      <c r="H21" s="16"/>
      <c r="I21" s="13">
        <v>8958.4</v>
      </c>
      <c r="J21" s="13">
        <f t="shared" si="1"/>
        <v>11198</v>
      </c>
      <c r="K21" s="6"/>
    </row>
    <row r="22" spans="1:11" ht="24" x14ac:dyDescent="0.25">
      <c r="A22" s="3">
        <v>15</v>
      </c>
      <c r="B22" s="14" t="s">
        <v>45</v>
      </c>
      <c r="C22" s="15" t="str">
        <f>"2/2015-1-U1"</f>
        <v>2/2015-1-U1</v>
      </c>
      <c r="D22" s="15" t="str">
        <f t="shared" si="0"/>
        <v>KING ICT D.O.O.</v>
      </c>
      <c r="E22" s="16">
        <v>42293</v>
      </c>
      <c r="F22" s="16"/>
      <c r="G22" s="13">
        <v>458648</v>
      </c>
      <c r="H22" s="16"/>
      <c r="I22" s="13">
        <v>573310</v>
      </c>
      <c r="J22" s="13">
        <f t="shared" si="1"/>
        <v>716637.5</v>
      </c>
      <c r="K22" s="6"/>
    </row>
    <row r="23" spans="1:11" x14ac:dyDescent="0.25">
      <c r="A23" s="3">
        <v>16</v>
      </c>
      <c r="B23" s="14" t="s">
        <v>26</v>
      </c>
      <c r="C23" s="15" t="str">
        <f>"20003479"</f>
        <v>20003479</v>
      </c>
      <c r="D23" s="15" t="str">
        <f t="shared" si="0"/>
        <v>KING ICT D.O.O.</v>
      </c>
      <c r="E23" s="16">
        <v>42251</v>
      </c>
      <c r="F23" s="16"/>
      <c r="G23" s="13">
        <v>91242</v>
      </c>
      <c r="H23" s="16"/>
      <c r="I23" s="13">
        <v>91242</v>
      </c>
      <c r="J23" s="13">
        <f t="shared" si="1"/>
        <v>114052.5</v>
      </c>
      <c r="K23" s="6"/>
    </row>
    <row r="24" spans="1:11" ht="24" x14ac:dyDescent="0.25">
      <c r="A24" s="3">
        <v>17</v>
      </c>
      <c r="B24" s="14" t="s">
        <v>50</v>
      </c>
      <c r="C24" s="15" t="str">
        <f>"71-1-2015"</f>
        <v>71-1-2015</v>
      </c>
      <c r="D24" s="15" t="str">
        <f t="shared" si="0"/>
        <v>KING ICT D.O.O.</v>
      </c>
      <c r="E24" s="16">
        <v>42297</v>
      </c>
      <c r="F24" s="16"/>
      <c r="G24" s="13">
        <v>15207</v>
      </c>
      <c r="H24" s="16"/>
      <c r="I24" s="13">
        <v>15207</v>
      </c>
      <c r="J24" s="13">
        <f t="shared" si="1"/>
        <v>19008.75</v>
      </c>
      <c r="K24" s="6"/>
    </row>
    <row r="25" spans="1:11" ht="24" x14ac:dyDescent="0.25">
      <c r="A25" s="3">
        <v>18</v>
      </c>
      <c r="B25" s="14" t="s">
        <v>47</v>
      </c>
      <c r="C25" s="15" t="str">
        <f>"97/2015/R"</f>
        <v>97/2015/R</v>
      </c>
      <c r="D25" s="15" t="str">
        <f t="shared" si="0"/>
        <v>KING ICT D.O.O.</v>
      </c>
      <c r="E25" s="16">
        <v>42292</v>
      </c>
      <c r="F25" s="16"/>
      <c r="G25" s="13">
        <v>152070</v>
      </c>
      <c r="H25" s="16"/>
      <c r="I25" s="13">
        <v>152070</v>
      </c>
      <c r="J25" s="13">
        <f t="shared" si="1"/>
        <v>190087.5</v>
      </c>
      <c r="K25" s="6"/>
    </row>
    <row r="26" spans="1:11" ht="24" x14ac:dyDescent="0.25">
      <c r="A26" s="3">
        <v>19</v>
      </c>
      <c r="B26" s="14" t="s">
        <v>48</v>
      </c>
      <c r="C26" s="15" t="str">
        <f>"218/2015"</f>
        <v>218/2015</v>
      </c>
      <c r="D26" s="15" t="str">
        <f t="shared" si="0"/>
        <v>KING ICT D.O.O.</v>
      </c>
      <c r="E26" s="16">
        <v>42331</v>
      </c>
      <c r="F26" s="16"/>
      <c r="G26" s="13">
        <v>10603.6</v>
      </c>
      <c r="H26" s="16"/>
      <c r="I26" s="13">
        <v>10603.6</v>
      </c>
      <c r="J26" s="13">
        <f t="shared" si="1"/>
        <v>13254.5</v>
      </c>
      <c r="K26" s="6"/>
    </row>
    <row r="27" spans="1:11" x14ac:dyDescent="0.25">
      <c r="A27" s="3">
        <v>20</v>
      </c>
      <c r="B27" s="14" t="s">
        <v>51</v>
      </c>
      <c r="C27" s="15" t="str">
        <f>"2700"</f>
        <v>2700</v>
      </c>
      <c r="D27" s="15" t="str">
        <f t="shared" si="0"/>
        <v>KING ICT D.O.O.</v>
      </c>
      <c r="E27" s="16">
        <v>42319</v>
      </c>
      <c r="F27" s="16">
        <v>42319</v>
      </c>
      <c r="G27" s="13">
        <v>154812.70000000001</v>
      </c>
      <c r="H27" s="16">
        <v>42319</v>
      </c>
      <c r="I27" s="13">
        <v>154812.70000000001</v>
      </c>
      <c r="J27" s="13">
        <f t="shared" si="1"/>
        <v>193515.875</v>
      </c>
      <c r="K27" s="6"/>
    </row>
    <row r="28" spans="1:11" x14ac:dyDescent="0.25">
      <c r="A28" s="3">
        <v>21</v>
      </c>
      <c r="B28" s="14" t="s">
        <v>54</v>
      </c>
      <c r="C28" s="15" t="str">
        <f>"2/2015-1-15/77-5"</f>
        <v>2/2015-1-15/77-5</v>
      </c>
      <c r="D28" s="15" t="str">
        <f t="shared" si="0"/>
        <v>KING ICT D.O.O.</v>
      </c>
      <c r="E28" s="16">
        <v>42307</v>
      </c>
      <c r="F28" s="16">
        <v>42344</v>
      </c>
      <c r="G28" s="13">
        <v>7364.3</v>
      </c>
      <c r="H28" s="16">
        <v>42344</v>
      </c>
      <c r="I28" s="13">
        <v>7364.3</v>
      </c>
      <c r="J28" s="13">
        <f t="shared" si="1"/>
        <v>9205.375</v>
      </c>
      <c r="K28" s="6"/>
    </row>
    <row r="29" spans="1:11" ht="24" x14ac:dyDescent="0.25">
      <c r="A29" s="3">
        <v>22</v>
      </c>
      <c r="B29" s="14" t="s">
        <v>30</v>
      </c>
      <c r="C29" s="15" t="str">
        <f>"510-A-A-0048/15-21"</f>
        <v>510-A-A-0048/15-21</v>
      </c>
      <c r="D29" s="15" t="str">
        <f t="shared" si="0"/>
        <v>KING ICT D.O.O.</v>
      </c>
      <c r="E29" s="16">
        <v>42310</v>
      </c>
      <c r="F29" s="16">
        <v>42340</v>
      </c>
      <c r="G29" s="13">
        <v>196768</v>
      </c>
      <c r="H29" s="16">
        <v>42340</v>
      </c>
      <c r="I29" s="13">
        <v>196768</v>
      </c>
      <c r="J29" s="13">
        <f t="shared" si="1"/>
        <v>245960</v>
      </c>
      <c r="K29" s="6"/>
    </row>
    <row r="30" spans="1:11" ht="36" x14ac:dyDescent="0.25">
      <c r="A30" s="3">
        <v>23</v>
      </c>
      <c r="B30" s="14" t="s">
        <v>59</v>
      </c>
      <c r="C30" s="15" t="str">
        <f>"03-A-A-0327/15-21"</f>
        <v>03-A-A-0327/15-21</v>
      </c>
      <c r="D30" s="15" t="str">
        <f t="shared" si="0"/>
        <v>KING ICT D.O.O.</v>
      </c>
      <c r="E30" s="16">
        <v>42304</v>
      </c>
      <c r="F30" s="16">
        <v>42335</v>
      </c>
      <c r="G30" s="13">
        <v>265090</v>
      </c>
      <c r="H30" s="16">
        <v>42335</v>
      </c>
      <c r="I30" s="13">
        <v>265090</v>
      </c>
      <c r="J30" s="13">
        <f t="shared" si="1"/>
        <v>331362.5</v>
      </c>
      <c r="K30" s="6"/>
    </row>
    <row r="31" spans="1:11" x14ac:dyDescent="0.25">
      <c r="A31" s="3">
        <v>24</v>
      </c>
      <c r="B31" s="14" t="s">
        <v>51</v>
      </c>
      <c r="C31" s="15" t="str">
        <f>"2537"</f>
        <v>2537</v>
      </c>
      <c r="D31" s="15" t="str">
        <f t="shared" si="0"/>
        <v>KING ICT D.O.O.</v>
      </c>
      <c r="E31" s="16">
        <v>42304</v>
      </c>
      <c r="F31" s="16">
        <v>42304</v>
      </c>
      <c r="G31" s="13">
        <v>18836.2</v>
      </c>
      <c r="H31" s="16">
        <v>42304</v>
      </c>
      <c r="I31" s="13">
        <v>18836.2</v>
      </c>
      <c r="J31" s="13">
        <f t="shared" si="1"/>
        <v>23545.25</v>
      </c>
      <c r="K31" s="6"/>
    </row>
    <row r="32" spans="1:11" ht="24" x14ac:dyDescent="0.25">
      <c r="A32" s="3">
        <v>25</v>
      </c>
      <c r="B32" s="14" t="s">
        <v>31</v>
      </c>
      <c r="C32" s="15" t="str">
        <f>"U125/15"</f>
        <v>U125/15</v>
      </c>
      <c r="D32" s="15" t="str">
        <f t="shared" si="0"/>
        <v>KING ICT D.O.O.</v>
      </c>
      <c r="E32" s="16">
        <v>42300</v>
      </c>
      <c r="F32" s="16">
        <v>42331</v>
      </c>
      <c r="G32" s="13">
        <v>14982</v>
      </c>
      <c r="H32" s="16">
        <v>42331</v>
      </c>
      <c r="I32" s="13">
        <v>14982</v>
      </c>
      <c r="J32" s="13">
        <f t="shared" si="1"/>
        <v>18727.5</v>
      </c>
      <c r="K32" s="6"/>
    </row>
    <row r="33" spans="1:11" x14ac:dyDescent="0.25">
      <c r="A33" s="3">
        <v>26</v>
      </c>
      <c r="B33" s="14" t="s">
        <v>51</v>
      </c>
      <c r="C33" s="15" t="str">
        <f>"2297-MINPOLJ"</f>
        <v>2297-MINPOLJ</v>
      </c>
      <c r="D33" s="15" t="str">
        <f t="shared" si="0"/>
        <v>KING ICT D.O.O.</v>
      </c>
      <c r="E33" s="16">
        <v>42283</v>
      </c>
      <c r="F33" s="16">
        <v>42283</v>
      </c>
      <c r="G33" s="13">
        <v>106020</v>
      </c>
      <c r="H33" s="16">
        <v>42283</v>
      </c>
      <c r="I33" s="13">
        <v>106020</v>
      </c>
      <c r="J33" s="13">
        <f t="shared" si="1"/>
        <v>132525</v>
      </c>
      <c r="K33" s="6"/>
    </row>
    <row r="34" spans="1:11" x14ac:dyDescent="0.25">
      <c r="A34" s="3">
        <v>27</v>
      </c>
      <c r="B34" s="14" t="s">
        <v>54</v>
      </c>
      <c r="C34" s="15" t="str">
        <f>"2/2015-1-15/77-1"</f>
        <v>2/2015-1-15/77-1</v>
      </c>
      <c r="D34" s="15" t="str">
        <f t="shared" si="0"/>
        <v>KING ICT D.O.O.</v>
      </c>
      <c r="E34" s="16">
        <v>42271</v>
      </c>
      <c r="F34" s="16">
        <v>42301</v>
      </c>
      <c r="G34" s="13">
        <v>338112</v>
      </c>
      <c r="H34" s="16">
        <v>42301</v>
      </c>
      <c r="I34" s="13">
        <v>338112</v>
      </c>
      <c r="J34" s="13">
        <f t="shared" si="1"/>
        <v>422640</v>
      </c>
      <c r="K34" s="6"/>
    </row>
    <row r="35" spans="1:11" ht="24" x14ac:dyDescent="0.25">
      <c r="A35" s="3">
        <v>28</v>
      </c>
      <c r="B35" s="14" t="s">
        <v>42</v>
      </c>
      <c r="C35" s="15" t="str">
        <f>"SNUG-204-15-0050"</f>
        <v>SNUG-204-15-0050</v>
      </c>
      <c r="D35" s="15" t="str">
        <f t="shared" si="0"/>
        <v>KING ICT D.O.O.</v>
      </c>
      <c r="E35" s="16">
        <v>42261</v>
      </c>
      <c r="F35" s="16">
        <v>42291</v>
      </c>
      <c r="G35" s="13">
        <v>245712</v>
      </c>
      <c r="H35" s="16">
        <v>42291</v>
      </c>
      <c r="I35" s="13">
        <v>245712</v>
      </c>
      <c r="J35" s="13">
        <f t="shared" si="1"/>
        <v>307140</v>
      </c>
      <c r="K35" s="6"/>
    </row>
    <row r="36" spans="1:11" ht="24" x14ac:dyDescent="0.25">
      <c r="A36" s="3">
        <v>29</v>
      </c>
      <c r="B36" s="14" t="s">
        <v>42</v>
      </c>
      <c r="C36" s="15" t="str">
        <f>"SNUG-204-15-0048"</f>
        <v>SNUG-204-15-0048</v>
      </c>
      <c r="D36" s="15" t="str">
        <f t="shared" si="0"/>
        <v>KING ICT D.O.O.</v>
      </c>
      <c r="E36" s="16">
        <v>42258</v>
      </c>
      <c r="F36" s="16">
        <v>42288</v>
      </c>
      <c r="G36" s="13">
        <v>3995555.1</v>
      </c>
      <c r="H36" s="16">
        <v>42288</v>
      </c>
      <c r="I36" s="13">
        <v>3995555.1</v>
      </c>
      <c r="J36" s="13">
        <f t="shared" si="1"/>
        <v>4994443.875</v>
      </c>
      <c r="K36" s="6"/>
    </row>
    <row r="37" spans="1:11" ht="24" x14ac:dyDescent="0.25">
      <c r="A37" s="3">
        <v>30</v>
      </c>
      <c r="B37" s="14" t="s">
        <v>42</v>
      </c>
      <c r="C37" s="15" t="str">
        <f>"SNUG-204-15-0049"</f>
        <v>SNUG-204-15-0049</v>
      </c>
      <c r="D37" s="15" t="str">
        <f t="shared" si="0"/>
        <v>KING ICT D.O.O.</v>
      </c>
      <c r="E37" s="16">
        <v>42258</v>
      </c>
      <c r="F37" s="16">
        <v>42288</v>
      </c>
      <c r="G37" s="13">
        <v>671553.41</v>
      </c>
      <c r="H37" s="16">
        <v>42288</v>
      </c>
      <c r="I37" s="13">
        <v>671553.42</v>
      </c>
      <c r="J37" s="13">
        <f t="shared" si="1"/>
        <v>839441.77500000002</v>
      </c>
      <c r="K37" s="6"/>
    </row>
    <row r="38" spans="1:11" ht="24" x14ac:dyDescent="0.25">
      <c r="A38" s="3">
        <v>31</v>
      </c>
      <c r="B38" s="14" t="s">
        <v>31</v>
      </c>
      <c r="C38" s="15" t="str">
        <f>"U094/15"</f>
        <v>U094/15</v>
      </c>
      <c r="D38" s="15" t="str">
        <f t="shared" si="0"/>
        <v>KING ICT D.O.O.</v>
      </c>
      <c r="E38" s="16">
        <v>42219</v>
      </c>
      <c r="F38" s="16">
        <v>42250</v>
      </c>
      <c r="G38" s="13">
        <v>119470.58</v>
      </c>
      <c r="H38" s="16">
        <v>42250</v>
      </c>
      <c r="I38" s="13">
        <v>119470.58</v>
      </c>
      <c r="J38" s="13">
        <f t="shared" si="1"/>
        <v>149338.22500000001</v>
      </c>
      <c r="K38" s="6"/>
    </row>
    <row r="39" spans="1:11" ht="24" x14ac:dyDescent="0.25">
      <c r="A39" s="3">
        <v>32</v>
      </c>
      <c r="B39" s="14" t="s">
        <v>31</v>
      </c>
      <c r="C39" s="15" t="str">
        <f>"U092/15"</f>
        <v>U092/15</v>
      </c>
      <c r="D39" s="15" t="str">
        <f t="shared" si="0"/>
        <v>KING ICT D.O.O.</v>
      </c>
      <c r="E39" s="16">
        <v>42219</v>
      </c>
      <c r="F39" s="16">
        <v>42250</v>
      </c>
      <c r="G39" s="13">
        <v>501420.5</v>
      </c>
      <c r="H39" s="16">
        <v>42250</v>
      </c>
      <c r="I39" s="13">
        <v>501420.5</v>
      </c>
      <c r="J39" s="13">
        <f t="shared" si="1"/>
        <v>626775.625</v>
      </c>
      <c r="K39" s="6"/>
    </row>
    <row r="40" spans="1:11" ht="36" x14ac:dyDescent="0.25">
      <c r="A40" s="3">
        <v>33</v>
      </c>
      <c r="B40" s="14" t="s">
        <v>59</v>
      </c>
      <c r="C40" s="15" t="str">
        <f>"03-A-A-0215/15-21"</f>
        <v>03-A-A-0215/15-21</v>
      </c>
      <c r="D40" s="15" t="str">
        <f t="shared" si="0"/>
        <v>KING ICT D.O.O.</v>
      </c>
      <c r="E40" s="16">
        <v>42216</v>
      </c>
      <c r="F40" s="16">
        <v>42247</v>
      </c>
      <c r="G40" s="13">
        <v>212072</v>
      </c>
      <c r="H40" s="16">
        <v>42247</v>
      </c>
      <c r="I40" s="13">
        <v>212072</v>
      </c>
      <c r="J40" s="13">
        <f t="shared" si="1"/>
        <v>265090</v>
      </c>
      <c r="K40" s="6"/>
    </row>
    <row r="41" spans="1:11" ht="24" x14ac:dyDescent="0.25">
      <c r="A41" s="3">
        <v>34</v>
      </c>
      <c r="B41" s="14" t="s">
        <v>27</v>
      </c>
      <c r="C41" s="15" t="str">
        <f>"0003247/009/SFF/JK"</f>
        <v>0003247/009/SFF/JK</v>
      </c>
      <c r="D41" s="15" t="str">
        <f t="shared" si="0"/>
        <v>KING ICT D.O.O.</v>
      </c>
      <c r="E41" s="16">
        <v>42213</v>
      </c>
      <c r="F41" s="16">
        <v>42244</v>
      </c>
      <c r="G41" s="13">
        <v>30388.400000000001</v>
      </c>
      <c r="H41" s="16">
        <v>42244</v>
      </c>
      <c r="I41" s="13">
        <v>30388.400000000001</v>
      </c>
      <c r="J41" s="13">
        <f t="shared" si="1"/>
        <v>37985.5</v>
      </c>
      <c r="K41" s="6"/>
    </row>
    <row r="42" spans="1:11" ht="24" x14ac:dyDescent="0.25">
      <c r="A42" s="3">
        <v>35</v>
      </c>
      <c r="B42" s="14" t="s">
        <v>39</v>
      </c>
      <c r="C42" s="15" t="str">
        <f>"33/15"</f>
        <v>33/15</v>
      </c>
      <c r="D42" s="15" t="str">
        <f t="shared" si="0"/>
        <v>KING ICT D.O.O.</v>
      </c>
      <c r="E42" s="16">
        <v>42212</v>
      </c>
      <c r="F42" s="16">
        <v>42304</v>
      </c>
      <c r="G42" s="13">
        <v>729182.8</v>
      </c>
      <c r="H42" s="16">
        <v>42304</v>
      </c>
      <c r="I42" s="13">
        <v>729182.8</v>
      </c>
      <c r="J42" s="13">
        <f t="shared" si="1"/>
        <v>911478.5</v>
      </c>
      <c r="K42" s="6"/>
    </row>
    <row r="43" spans="1:11" ht="24" x14ac:dyDescent="0.25">
      <c r="A43" s="3">
        <v>36</v>
      </c>
      <c r="B43" s="14" t="s">
        <v>39</v>
      </c>
      <c r="C43" s="15" t="str">
        <f>"34/15"</f>
        <v>34/15</v>
      </c>
      <c r="D43" s="15" t="str">
        <f t="shared" si="0"/>
        <v>KING ICT D.O.O.</v>
      </c>
      <c r="E43" s="16">
        <v>42212</v>
      </c>
      <c r="F43" s="16">
        <v>42304</v>
      </c>
      <c r="G43" s="13">
        <v>249700</v>
      </c>
      <c r="H43" s="16">
        <v>42304</v>
      </c>
      <c r="I43" s="13">
        <v>249700</v>
      </c>
      <c r="J43" s="13">
        <f t="shared" si="1"/>
        <v>312125</v>
      </c>
      <c r="K43" s="6"/>
    </row>
    <row r="44" spans="1:11" ht="24" x14ac:dyDescent="0.25">
      <c r="A44" s="3">
        <v>37</v>
      </c>
      <c r="B44" s="14" t="s">
        <v>62</v>
      </c>
      <c r="C44" s="15" t="str">
        <f>"2/2015-11"</f>
        <v>2/2015-11</v>
      </c>
      <c r="D44" s="15" t="str">
        <f t="shared" si="0"/>
        <v>KING ICT D.O.O.</v>
      </c>
      <c r="E44" s="16">
        <v>42226</v>
      </c>
      <c r="F44" s="16">
        <v>42369</v>
      </c>
      <c r="G44" s="13">
        <v>62560</v>
      </c>
      <c r="H44" s="16">
        <v>42369</v>
      </c>
      <c r="I44" s="13">
        <v>45790</v>
      </c>
      <c r="J44" s="13">
        <f t="shared" si="1"/>
        <v>57237.5</v>
      </c>
      <c r="K44" s="6"/>
    </row>
    <row r="45" spans="1:11" ht="24" x14ac:dyDescent="0.25">
      <c r="A45" s="3">
        <v>38</v>
      </c>
      <c r="B45" s="14" t="s">
        <v>27</v>
      </c>
      <c r="C45" s="15" t="str">
        <f>"2/2015-3-1"</f>
        <v>2/2015-3-1</v>
      </c>
      <c r="D45" s="15" t="str">
        <f t="shared" si="0"/>
        <v>KING ICT D.O.O.</v>
      </c>
      <c r="E45" s="16">
        <v>42206</v>
      </c>
      <c r="F45" s="16">
        <v>42237</v>
      </c>
      <c r="G45" s="13">
        <v>1737554.4</v>
      </c>
      <c r="H45" s="16">
        <v>42237</v>
      </c>
      <c r="I45" s="13">
        <v>1737554.4</v>
      </c>
      <c r="J45" s="13">
        <f t="shared" si="1"/>
        <v>2171943</v>
      </c>
      <c r="K45" s="6"/>
    </row>
    <row r="46" spans="1:11" ht="24" x14ac:dyDescent="0.25">
      <c r="A46" s="3">
        <v>39</v>
      </c>
      <c r="B46" s="14" t="s">
        <v>27</v>
      </c>
      <c r="C46" s="15" t="str">
        <f>"2/2012-3-2"</f>
        <v>2/2012-3-2</v>
      </c>
      <c r="D46" s="15" t="str">
        <f t="shared" si="0"/>
        <v>KING ICT D.O.O.</v>
      </c>
      <c r="E46" s="16">
        <v>42205</v>
      </c>
      <c r="F46" s="16">
        <v>42236</v>
      </c>
      <c r="G46" s="13">
        <v>464569.58</v>
      </c>
      <c r="H46" s="16">
        <v>42236</v>
      </c>
      <c r="I46" s="13">
        <v>464569.58</v>
      </c>
      <c r="J46" s="13">
        <f t="shared" si="1"/>
        <v>580711.97499999998</v>
      </c>
      <c r="K46" s="6"/>
    </row>
    <row r="47" spans="1:11" ht="24" x14ac:dyDescent="0.25">
      <c r="A47" s="3">
        <v>40</v>
      </c>
      <c r="B47" s="14" t="s">
        <v>91</v>
      </c>
      <c r="C47" s="15" t="str">
        <f>"U14/15"</f>
        <v>U14/15</v>
      </c>
      <c r="D47" s="15" t="str">
        <f t="shared" si="0"/>
        <v>KING ICT D.O.O.</v>
      </c>
      <c r="E47" s="16">
        <v>42202</v>
      </c>
      <c r="F47" s="16">
        <v>42233</v>
      </c>
      <c r="G47" s="13">
        <v>119707</v>
      </c>
      <c r="H47" s="16">
        <v>42233</v>
      </c>
      <c r="I47" s="13">
        <v>119707</v>
      </c>
      <c r="J47" s="13">
        <f t="shared" si="1"/>
        <v>149633.75</v>
      </c>
      <c r="K47" s="6"/>
    </row>
    <row r="48" spans="1:11" x14ac:dyDescent="0.25">
      <c r="A48" s="3">
        <v>41</v>
      </c>
      <c r="B48" s="14" t="s">
        <v>29</v>
      </c>
      <c r="C48" s="15" t="str">
        <f>"15423"</f>
        <v>15423</v>
      </c>
      <c r="D48" s="15" t="str">
        <f t="shared" si="0"/>
        <v>KING ICT D.O.O.</v>
      </c>
      <c r="E48" s="16">
        <v>42199</v>
      </c>
      <c r="F48" s="16">
        <v>42230</v>
      </c>
      <c r="G48" s="13">
        <v>912420</v>
      </c>
      <c r="H48" s="16">
        <v>42230</v>
      </c>
      <c r="I48" s="13">
        <v>912420</v>
      </c>
      <c r="J48" s="13">
        <f t="shared" si="1"/>
        <v>1140525</v>
      </c>
      <c r="K48" s="6"/>
    </row>
    <row r="49" spans="1:11" ht="24" x14ac:dyDescent="0.25">
      <c r="A49" s="3">
        <v>42</v>
      </c>
      <c r="B49" s="14" t="s">
        <v>28</v>
      </c>
      <c r="C49" s="15" t="str">
        <f>"2/2015-32"</f>
        <v>2/2015-32</v>
      </c>
      <c r="D49" s="15" t="str">
        <f>CONCATENATE("KING ICT D.O.O.")</f>
        <v>KING ICT D.O.O.</v>
      </c>
      <c r="E49" s="16">
        <v>42198</v>
      </c>
      <c r="F49" s="16">
        <v>42229</v>
      </c>
      <c r="G49" s="13">
        <v>199931.6</v>
      </c>
      <c r="H49" s="16">
        <v>42229</v>
      </c>
      <c r="I49" s="13">
        <v>199931.6</v>
      </c>
      <c r="J49" s="13">
        <f t="shared" si="1"/>
        <v>249914.5</v>
      </c>
      <c r="K49" s="6"/>
    </row>
    <row r="50" spans="1:11" ht="24" x14ac:dyDescent="0.25">
      <c r="A50" s="3">
        <v>43</v>
      </c>
      <c r="B50" s="14" t="s">
        <v>55</v>
      </c>
      <c r="C50" s="15" t="str">
        <f>"33-6-15-1"</f>
        <v>33-6-15-1</v>
      </c>
      <c r="D50" s="15" t="str">
        <f>CONCATENATE("KING ICT D.O.O.")</f>
        <v>KING ICT D.O.O.</v>
      </c>
      <c r="E50" s="16">
        <v>42185</v>
      </c>
      <c r="F50" s="16">
        <v>42369</v>
      </c>
      <c r="G50" s="13">
        <v>405486.8</v>
      </c>
      <c r="H50" s="16">
        <v>42369</v>
      </c>
      <c r="I50" s="13">
        <v>405486.8</v>
      </c>
      <c r="J50" s="13">
        <f t="shared" si="1"/>
        <v>506858.5</v>
      </c>
      <c r="K50" s="6"/>
    </row>
    <row r="51" spans="1:11" x14ac:dyDescent="0.25">
      <c r="A51" s="3">
        <v>44</v>
      </c>
      <c r="B51" s="14" t="s">
        <v>53</v>
      </c>
      <c r="C51" s="15" t="str">
        <f>"2/2015-1-MB"</f>
        <v>2/2015-1-MB</v>
      </c>
      <c r="D51" s="15" t="str">
        <f>CONCATENATE("KING ICT D.O.O.")</f>
        <v>KING ICT D.O.O.</v>
      </c>
      <c r="E51" s="16">
        <v>42167</v>
      </c>
      <c r="F51" s="16">
        <v>42898</v>
      </c>
      <c r="G51" s="13">
        <v>0</v>
      </c>
      <c r="H51" s="16">
        <v>42898</v>
      </c>
      <c r="I51" s="13">
        <v>118920</v>
      </c>
      <c r="J51" s="13">
        <f t="shared" si="1"/>
        <v>148650</v>
      </c>
      <c r="K51" s="6"/>
    </row>
    <row r="52" spans="1:11" ht="7.5" customHeight="1" x14ac:dyDescent="0.25"/>
    <row r="53" spans="1:11" ht="42" customHeight="1" x14ac:dyDescent="0.25">
      <c r="A53" s="1" t="s">
        <v>0</v>
      </c>
      <c r="B53" s="2" t="s">
        <v>1</v>
      </c>
      <c r="C53" s="2" t="s">
        <v>6</v>
      </c>
      <c r="D53" s="2" t="s">
        <v>2</v>
      </c>
      <c r="E53" s="2" t="s">
        <v>3</v>
      </c>
      <c r="F53" s="2" t="s">
        <v>7</v>
      </c>
      <c r="G53" s="2" t="s">
        <v>8</v>
      </c>
      <c r="H53" s="2" t="s">
        <v>4</v>
      </c>
      <c r="I53" s="2" t="s">
        <v>5</v>
      </c>
    </row>
    <row r="54" spans="1:11" ht="25.5" x14ac:dyDescent="0.25">
      <c r="A54" s="3">
        <v>1</v>
      </c>
      <c r="B54" s="31" t="s">
        <v>662</v>
      </c>
      <c r="C54" s="3" t="s">
        <v>134</v>
      </c>
      <c r="D54" s="3" t="s">
        <v>683</v>
      </c>
      <c r="E54" s="3" t="s">
        <v>24</v>
      </c>
      <c r="F54" s="21">
        <v>42167</v>
      </c>
      <c r="G54" s="3" t="s">
        <v>659</v>
      </c>
      <c r="H54" s="13">
        <v>19300000</v>
      </c>
      <c r="I54" s="13">
        <v>22009535</v>
      </c>
    </row>
    <row r="55" spans="1:11" x14ac:dyDescent="0.25">
      <c r="A55" s="42" t="s">
        <v>706</v>
      </c>
      <c r="B55" s="43"/>
      <c r="C55" s="43"/>
      <c r="D55" s="43"/>
      <c r="E55" s="43"/>
      <c r="F55" s="43"/>
      <c r="G55" s="43"/>
      <c r="H55" s="44"/>
      <c r="I55" s="13">
        <v>7541681.0099999998</v>
      </c>
    </row>
    <row r="56" spans="1:11" ht="7.5" customHeight="1" x14ac:dyDescent="0.25"/>
    <row r="57" spans="1:11" x14ac:dyDescent="0.25">
      <c r="A57" s="46" t="s">
        <v>20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63.75" customHeight="1" x14ac:dyDescent="0.25">
      <c r="A58" s="4" t="s">
        <v>0</v>
      </c>
      <c r="B58" s="5" t="s">
        <v>10</v>
      </c>
      <c r="C58" s="5" t="s">
        <v>9</v>
      </c>
      <c r="D58" s="5" t="s">
        <v>13</v>
      </c>
      <c r="E58" s="5" t="s">
        <v>12</v>
      </c>
      <c r="F58" s="5" t="s">
        <v>11</v>
      </c>
      <c r="G58" s="5" t="s">
        <v>18</v>
      </c>
      <c r="H58" s="5" t="s">
        <v>14</v>
      </c>
      <c r="I58" s="5" t="s">
        <v>15</v>
      </c>
      <c r="J58" s="5" t="s">
        <v>16</v>
      </c>
      <c r="K58" s="5" t="s">
        <v>17</v>
      </c>
    </row>
    <row r="59" spans="1:11" ht="24" x14ac:dyDescent="0.25">
      <c r="A59" s="3">
        <v>1</v>
      </c>
      <c r="B59" s="14" t="s">
        <v>27</v>
      </c>
      <c r="C59" s="15" t="str">
        <f>"0023/JK/2015"</f>
        <v>0023/JK/2015</v>
      </c>
      <c r="D59" s="15" t="str">
        <f t="shared" ref="D59:D80" si="2">CONCATENATE("COMPING D.O.O.")</f>
        <v>COMPING D.O.O.</v>
      </c>
      <c r="E59" s="16">
        <v>42249</v>
      </c>
      <c r="F59" s="16"/>
      <c r="G59" s="13">
        <v>25120</v>
      </c>
      <c r="H59" s="16"/>
      <c r="I59" s="13">
        <v>25120</v>
      </c>
      <c r="J59" s="13">
        <f>I59*1.25</f>
        <v>31400</v>
      </c>
      <c r="K59" s="6"/>
    </row>
    <row r="60" spans="1:11" x14ac:dyDescent="0.25">
      <c r="A60" s="3">
        <v>2</v>
      </c>
      <c r="B60" s="14" t="s">
        <v>49</v>
      </c>
      <c r="C60" s="15" t="str">
        <f>"1048/2015"</f>
        <v>1048/2015</v>
      </c>
      <c r="D60" s="15" t="str">
        <f t="shared" si="2"/>
        <v>COMPING D.O.O.</v>
      </c>
      <c r="E60" s="16">
        <v>42297</v>
      </c>
      <c r="F60" s="16"/>
      <c r="G60" s="13">
        <v>20276</v>
      </c>
      <c r="H60" s="16"/>
      <c r="I60" s="13">
        <v>20276</v>
      </c>
      <c r="J60" s="13">
        <f t="shared" ref="J60:J99" si="3">I60*1.25</f>
        <v>25345</v>
      </c>
      <c r="K60" s="6"/>
    </row>
    <row r="61" spans="1:11" ht="24" x14ac:dyDescent="0.25">
      <c r="A61" s="3">
        <v>3</v>
      </c>
      <c r="B61" s="14" t="s">
        <v>45</v>
      </c>
      <c r="C61" s="15" t="str">
        <f>"2/2015-2/3-U1"</f>
        <v>2/2015-2/3-U1</v>
      </c>
      <c r="D61" s="15" t="str">
        <f t="shared" si="2"/>
        <v>COMPING D.O.O.</v>
      </c>
      <c r="E61" s="16">
        <v>42293</v>
      </c>
      <c r="F61" s="16"/>
      <c r="G61" s="13">
        <v>99880</v>
      </c>
      <c r="H61" s="16"/>
      <c r="I61" s="13">
        <v>99880</v>
      </c>
      <c r="J61" s="13">
        <f t="shared" si="3"/>
        <v>124850</v>
      </c>
      <c r="K61" s="6"/>
    </row>
    <row r="62" spans="1:11" ht="24" x14ac:dyDescent="0.25">
      <c r="A62" s="3">
        <v>4</v>
      </c>
      <c r="B62" s="14" t="s">
        <v>47</v>
      </c>
      <c r="C62" s="15" t="str">
        <f>"107/2015/R"</f>
        <v>107/2015/R</v>
      </c>
      <c r="D62" s="15" t="str">
        <f t="shared" si="2"/>
        <v>COMPING D.O.O.</v>
      </c>
      <c r="E62" s="16">
        <v>42326</v>
      </c>
      <c r="F62" s="16"/>
      <c r="G62" s="13">
        <v>24970</v>
      </c>
      <c r="H62" s="16"/>
      <c r="I62" s="13">
        <v>24970</v>
      </c>
      <c r="J62" s="13">
        <f t="shared" si="3"/>
        <v>31212.5</v>
      </c>
      <c r="K62" s="6"/>
    </row>
    <row r="63" spans="1:11" ht="24" x14ac:dyDescent="0.25">
      <c r="A63" s="3">
        <v>5</v>
      </c>
      <c r="B63" s="14" t="s">
        <v>61</v>
      </c>
      <c r="C63" s="15" t="str">
        <f>"54/15"</f>
        <v>54/15</v>
      </c>
      <c r="D63" s="15" t="str">
        <f t="shared" si="2"/>
        <v>COMPING D.O.O.</v>
      </c>
      <c r="E63" s="16">
        <v>42282</v>
      </c>
      <c r="F63" s="16">
        <v>42313</v>
      </c>
      <c r="G63" s="13">
        <v>49435.3</v>
      </c>
      <c r="H63" s="16">
        <v>42313</v>
      </c>
      <c r="I63" s="13">
        <v>49435.3</v>
      </c>
      <c r="J63" s="13">
        <f t="shared" si="3"/>
        <v>61794.125</v>
      </c>
      <c r="K63" s="6"/>
    </row>
    <row r="64" spans="1:11" ht="24" x14ac:dyDescent="0.25">
      <c r="A64" s="3">
        <v>6</v>
      </c>
      <c r="B64" s="14" t="s">
        <v>61</v>
      </c>
      <c r="C64" s="15" t="str">
        <f>"53/15"</f>
        <v>53/15</v>
      </c>
      <c r="D64" s="15" t="str">
        <f t="shared" si="2"/>
        <v>COMPING D.O.O.</v>
      </c>
      <c r="E64" s="16">
        <v>42282</v>
      </c>
      <c r="F64" s="16">
        <v>42313</v>
      </c>
      <c r="G64" s="13">
        <v>4994</v>
      </c>
      <c r="H64" s="16">
        <v>42313</v>
      </c>
      <c r="I64" s="13">
        <v>4994</v>
      </c>
      <c r="J64" s="13">
        <f t="shared" si="3"/>
        <v>6242.5</v>
      </c>
      <c r="K64" s="6"/>
    </row>
    <row r="65" spans="1:11" ht="24" x14ac:dyDescent="0.25">
      <c r="A65" s="3">
        <v>7</v>
      </c>
      <c r="B65" s="14" t="s">
        <v>50</v>
      </c>
      <c r="C65" s="15" t="str">
        <f>"72-2015"</f>
        <v>72-2015</v>
      </c>
      <c r="D65" s="15" t="str">
        <f t="shared" si="2"/>
        <v>COMPING D.O.O.</v>
      </c>
      <c r="E65" s="16">
        <v>42297</v>
      </c>
      <c r="F65" s="16"/>
      <c r="G65" s="13">
        <v>5144</v>
      </c>
      <c r="H65" s="16"/>
      <c r="I65" s="13">
        <v>5144</v>
      </c>
      <c r="J65" s="13">
        <f t="shared" si="3"/>
        <v>6430</v>
      </c>
      <c r="K65" s="6"/>
    </row>
    <row r="66" spans="1:11" ht="24" x14ac:dyDescent="0.25">
      <c r="A66" s="3">
        <v>8</v>
      </c>
      <c r="B66" s="14" t="s">
        <v>27</v>
      </c>
      <c r="C66" s="15" t="str">
        <f>"025/JK/2015"</f>
        <v>025/JK/2015</v>
      </c>
      <c r="D66" s="15" t="str">
        <f t="shared" si="2"/>
        <v>COMPING D.O.O.</v>
      </c>
      <c r="E66" s="16">
        <v>42249</v>
      </c>
      <c r="F66" s="16"/>
      <c r="G66" s="13">
        <v>10288</v>
      </c>
      <c r="H66" s="16"/>
      <c r="I66" s="13">
        <v>10288</v>
      </c>
      <c r="J66" s="13">
        <f t="shared" si="3"/>
        <v>12860</v>
      </c>
      <c r="K66" s="6"/>
    </row>
    <row r="67" spans="1:11" x14ac:dyDescent="0.25">
      <c r="A67" s="3">
        <v>9</v>
      </c>
      <c r="B67" s="14" t="s">
        <v>90</v>
      </c>
      <c r="C67" s="15" t="str">
        <f>"U-10/MV/2015"</f>
        <v>U-10/MV/2015</v>
      </c>
      <c r="D67" s="15" t="str">
        <f t="shared" si="2"/>
        <v>COMPING D.O.O.</v>
      </c>
      <c r="E67" s="16">
        <v>42312</v>
      </c>
      <c r="F67" s="16"/>
      <c r="G67" s="13">
        <v>222190</v>
      </c>
      <c r="H67" s="16"/>
      <c r="I67" s="13">
        <v>222190</v>
      </c>
      <c r="J67" s="13">
        <f t="shared" si="3"/>
        <v>277737.5</v>
      </c>
      <c r="K67" s="6"/>
    </row>
    <row r="68" spans="1:11" ht="36" x14ac:dyDescent="0.25">
      <c r="A68" s="3">
        <v>10</v>
      </c>
      <c r="B68" s="14" t="s">
        <v>97</v>
      </c>
      <c r="C68" s="15" t="str">
        <f>"NAR/2015-UDRUGE-GRUPA 2/3"</f>
        <v>NAR/2015-UDRUGE-GRUPA 2/3</v>
      </c>
      <c r="D68" s="15" t="str">
        <f t="shared" si="2"/>
        <v>COMPING D.O.O.</v>
      </c>
      <c r="E68" s="16">
        <v>42167</v>
      </c>
      <c r="F68" s="16">
        <v>42369</v>
      </c>
      <c r="G68" s="13">
        <v>19113</v>
      </c>
      <c r="H68" s="16">
        <v>42369</v>
      </c>
      <c r="I68" s="13">
        <v>19113</v>
      </c>
      <c r="J68" s="13">
        <f t="shared" si="3"/>
        <v>23891.25</v>
      </c>
      <c r="K68" s="6"/>
    </row>
    <row r="69" spans="1:11" ht="24" x14ac:dyDescent="0.25">
      <c r="A69" s="3">
        <v>11</v>
      </c>
      <c r="B69" s="14" t="s">
        <v>81</v>
      </c>
      <c r="C69" s="15" t="str">
        <f>"NAR/2015-VRH-GRUPA 2/3"</f>
        <v>NAR/2015-VRH-GRUPA 2/3</v>
      </c>
      <c r="D69" s="15" t="str">
        <f t="shared" si="2"/>
        <v>COMPING D.O.O.</v>
      </c>
      <c r="E69" s="16">
        <v>42167</v>
      </c>
      <c r="F69" s="16">
        <v>42369</v>
      </c>
      <c r="G69" s="13">
        <v>73698</v>
      </c>
      <c r="H69" s="16">
        <v>42369</v>
      </c>
      <c r="I69" s="13">
        <v>73698</v>
      </c>
      <c r="J69" s="13">
        <f t="shared" si="3"/>
        <v>92122.5</v>
      </c>
      <c r="K69" s="6"/>
    </row>
    <row r="70" spans="1:11" ht="24" x14ac:dyDescent="0.25">
      <c r="A70" s="3">
        <v>12</v>
      </c>
      <c r="B70" s="14" t="s">
        <v>37</v>
      </c>
      <c r="C70" s="15" t="str">
        <f>"2/2015-N578/15"</f>
        <v>2/2015-N578/15</v>
      </c>
      <c r="D70" s="15" t="str">
        <f t="shared" si="2"/>
        <v>COMPING D.O.O.</v>
      </c>
      <c r="E70" s="16">
        <v>42263</v>
      </c>
      <c r="F70" s="16"/>
      <c r="G70" s="13">
        <v>63710</v>
      </c>
      <c r="H70" s="16"/>
      <c r="I70" s="13">
        <v>63710</v>
      </c>
      <c r="J70" s="13">
        <f t="shared" si="3"/>
        <v>79637.5</v>
      </c>
      <c r="K70" s="6"/>
    </row>
    <row r="71" spans="1:11" x14ac:dyDescent="0.25">
      <c r="A71" s="3">
        <v>13</v>
      </c>
      <c r="B71" s="14" t="s">
        <v>33</v>
      </c>
      <c r="C71" s="15" t="str">
        <f>"N 660/CUSU"</f>
        <v>N 660/CUSU</v>
      </c>
      <c r="D71" s="15" t="str">
        <f t="shared" si="2"/>
        <v>COMPING D.O.O.</v>
      </c>
      <c r="E71" s="16">
        <v>42317</v>
      </c>
      <c r="F71" s="16"/>
      <c r="G71" s="13">
        <v>197501</v>
      </c>
      <c r="H71" s="16"/>
      <c r="I71" s="13">
        <v>197501</v>
      </c>
      <c r="J71" s="13">
        <f t="shared" si="3"/>
        <v>246876.25</v>
      </c>
      <c r="K71" s="6"/>
    </row>
    <row r="72" spans="1:11" ht="24" x14ac:dyDescent="0.25">
      <c r="A72" s="3">
        <v>14</v>
      </c>
      <c r="B72" s="14" t="s">
        <v>31</v>
      </c>
      <c r="C72" s="15" t="str">
        <f>"U125/15"</f>
        <v>U125/15</v>
      </c>
      <c r="D72" s="15" t="str">
        <f t="shared" si="2"/>
        <v>COMPING D.O.O.</v>
      </c>
      <c r="E72" s="16">
        <v>42300</v>
      </c>
      <c r="F72" s="16"/>
      <c r="G72" s="13">
        <v>14982</v>
      </c>
      <c r="H72" s="16"/>
      <c r="I72" s="13">
        <v>14982</v>
      </c>
      <c r="J72" s="13">
        <f t="shared" si="3"/>
        <v>18727.5</v>
      </c>
      <c r="K72" s="6"/>
    </row>
    <row r="73" spans="1:11" ht="24" x14ac:dyDescent="0.25">
      <c r="A73" s="3">
        <v>15</v>
      </c>
      <c r="B73" s="14" t="s">
        <v>31</v>
      </c>
      <c r="C73" s="15" t="str">
        <f>"U093/15"</f>
        <v>U093/15</v>
      </c>
      <c r="D73" s="15" t="str">
        <f t="shared" si="2"/>
        <v>COMPING D.O.O.</v>
      </c>
      <c r="E73" s="16">
        <v>42212</v>
      </c>
      <c r="F73" s="16">
        <v>42243</v>
      </c>
      <c r="G73" s="13">
        <v>151485</v>
      </c>
      <c r="H73" s="16">
        <v>42243</v>
      </c>
      <c r="I73" s="13">
        <v>151485</v>
      </c>
      <c r="J73" s="13">
        <f t="shared" si="3"/>
        <v>189356.25</v>
      </c>
      <c r="K73" s="6"/>
    </row>
    <row r="74" spans="1:11" ht="24" x14ac:dyDescent="0.25">
      <c r="A74" s="3">
        <v>16</v>
      </c>
      <c r="B74" s="14" t="s">
        <v>47</v>
      </c>
      <c r="C74" s="15" t="str">
        <f>"98/2015/R"</f>
        <v>98/2015/R</v>
      </c>
      <c r="D74" s="15" t="str">
        <f t="shared" si="2"/>
        <v>COMPING D.O.O.</v>
      </c>
      <c r="E74" s="16">
        <v>42292</v>
      </c>
      <c r="F74" s="16"/>
      <c r="G74" s="13">
        <v>4994</v>
      </c>
      <c r="H74" s="16"/>
      <c r="I74" s="13">
        <v>4994</v>
      </c>
      <c r="J74" s="13">
        <f t="shared" si="3"/>
        <v>6242.5</v>
      </c>
      <c r="K74" s="6"/>
    </row>
    <row r="75" spans="1:11" ht="24" x14ac:dyDescent="0.25">
      <c r="A75" s="3">
        <v>17</v>
      </c>
      <c r="B75" s="14" t="s">
        <v>52</v>
      </c>
      <c r="C75" s="15" t="str">
        <f>"2/2015-DUSJN"</f>
        <v>2/2015-DUSJN</v>
      </c>
      <c r="D75" s="15" t="str">
        <f t="shared" si="2"/>
        <v>COMPING D.O.O.</v>
      </c>
      <c r="E75" s="16">
        <v>42369</v>
      </c>
      <c r="F75" s="16">
        <v>42369</v>
      </c>
      <c r="G75" s="13">
        <v>16622.37</v>
      </c>
      <c r="H75" s="16">
        <v>42369</v>
      </c>
      <c r="I75" s="13">
        <v>16622.37</v>
      </c>
      <c r="J75" s="13">
        <f t="shared" si="3"/>
        <v>20777.962499999998</v>
      </c>
      <c r="K75" s="6"/>
    </row>
    <row r="76" spans="1:11" x14ac:dyDescent="0.25">
      <c r="A76" s="3">
        <v>18</v>
      </c>
      <c r="B76" s="14" t="s">
        <v>51</v>
      </c>
      <c r="C76" s="15" t="str">
        <f>"2998"</f>
        <v>2998</v>
      </c>
      <c r="D76" s="15" t="str">
        <f t="shared" si="2"/>
        <v>COMPING D.O.O.</v>
      </c>
      <c r="E76" s="16">
        <v>42355</v>
      </c>
      <c r="F76" s="16">
        <v>42355</v>
      </c>
      <c r="G76" s="13">
        <v>10354</v>
      </c>
      <c r="H76" s="16">
        <v>42355</v>
      </c>
      <c r="I76" s="13">
        <v>10354</v>
      </c>
      <c r="J76" s="13">
        <f t="shared" si="3"/>
        <v>12942.5</v>
      </c>
      <c r="K76" s="6"/>
    </row>
    <row r="77" spans="1:11" x14ac:dyDescent="0.25">
      <c r="A77" s="3">
        <v>19</v>
      </c>
      <c r="B77" s="14" t="s">
        <v>36</v>
      </c>
      <c r="C77" s="15" t="str">
        <f>"2/2015-31"</f>
        <v>2/2015-31</v>
      </c>
      <c r="D77" s="15" t="str">
        <f t="shared" si="2"/>
        <v>COMPING D.O.O.</v>
      </c>
      <c r="E77" s="16">
        <v>42342</v>
      </c>
      <c r="F77" s="16">
        <v>42373</v>
      </c>
      <c r="G77" s="13">
        <v>421430</v>
      </c>
      <c r="H77" s="16">
        <v>42373</v>
      </c>
      <c r="I77" s="13">
        <v>421430</v>
      </c>
      <c r="J77" s="13">
        <f t="shared" si="3"/>
        <v>526787.5</v>
      </c>
      <c r="K77" s="6"/>
    </row>
    <row r="78" spans="1:11" x14ac:dyDescent="0.25">
      <c r="A78" s="3">
        <v>20</v>
      </c>
      <c r="B78" s="14" t="s">
        <v>25</v>
      </c>
      <c r="C78" s="15" t="str">
        <f>"2/2015-29"</f>
        <v>2/2015-29</v>
      </c>
      <c r="D78" s="15" t="str">
        <f t="shared" si="2"/>
        <v>COMPING D.O.O.</v>
      </c>
      <c r="E78" s="16">
        <v>42333</v>
      </c>
      <c r="F78" s="16">
        <v>42363</v>
      </c>
      <c r="G78" s="13">
        <v>374344</v>
      </c>
      <c r="H78" s="16">
        <v>42363</v>
      </c>
      <c r="I78" s="13">
        <v>374344</v>
      </c>
      <c r="J78" s="13">
        <f t="shared" si="3"/>
        <v>467930</v>
      </c>
      <c r="K78" s="6"/>
    </row>
    <row r="79" spans="1:11" x14ac:dyDescent="0.25">
      <c r="A79" s="3">
        <v>21</v>
      </c>
      <c r="B79" s="14" t="s">
        <v>44</v>
      </c>
      <c r="C79" s="15" t="str">
        <f>"2/2015-28"</f>
        <v>2/2015-28</v>
      </c>
      <c r="D79" s="15" t="str">
        <f t="shared" si="2"/>
        <v>COMPING D.O.O.</v>
      </c>
      <c r="E79" s="16">
        <v>42333</v>
      </c>
      <c r="F79" s="16">
        <v>42369</v>
      </c>
      <c r="G79" s="13">
        <v>1794800</v>
      </c>
      <c r="H79" s="16">
        <v>42369</v>
      </c>
      <c r="I79" s="13">
        <v>1794800</v>
      </c>
      <c r="J79" s="13">
        <f t="shared" si="3"/>
        <v>2243500</v>
      </c>
      <c r="K79" s="6"/>
    </row>
    <row r="80" spans="1:11" x14ac:dyDescent="0.25">
      <c r="A80" s="3">
        <v>22</v>
      </c>
      <c r="B80" s="14" t="s">
        <v>29</v>
      </c>
      <c r="C80" s="15" t="str">
        <f>"15692"</f>
        <v>15692</v>
      </c>
      <c r="D80" s="15" t="str">
        <f t="shared" si="2"/>
        <v>COMPING D.O.O.</v>
      </c>
      <c r="E80" s="16">
        <v>42326</v>
      </c>
      <c r="F80" s="16">
        <v>42356</v>
      </c>
      <c r="G80" s="13">
        <v>80636</v>
      </c>
      <c r="H80" s="16">
        <v>42356</v>
      </c>
      <c r="I80" s="13">
        <v>80636</v>
      </c>
      <c r="J80" s="13">
        <f t="shared" si="3"/>
        <v>100795</v>
      </c>
      <c r="K80" s="6"/>
    </row>
    <row r="81" spans="1:11" x14ac:dyDescent="0.25">
      <c r="A81" s="3">
        <v>23</v>
      </c>
      <c r="B81" s="14" t="s">
        <v>51</v>
      </c>
      <c r="C81" s="15" t="str">
        <f>"2619"</f>
        <v>2619</v>
      </c>
      <c r="D81" s="15" t="str">
        <f t="shared" ref="D81:D95" si="4">CONCATENATE("COMPING D.O.O.")</f>
        <v>COMPING D.O.O.</v>
      </c>
      <c r="E81" s="16">
        <v>42312</v>
      </c>
      <c r="F81" s="16">
        <v>42312</v>
      </c>
      <c r="G81" s="13">
        <v>44946</v>
      </c>
      <c r="H81" s="16">
        <v>42312</v>
      </c>
      <c r="I81" s="13">
        <v>44946</v>
      </c>
      <c r="J81" s="13">
        <f t="shared" si="3"/>
        <v>56182.5</v>
      </c>
      <c r="K81" s="6"/>
    </row>
    <row r="82" spans="1:11" x14ac:dyDescent="0.25">
      <c r="A82" s="3">
        <v>24</v>
      </c>
      <c r="B82" s="14" t="s">
        <v>51</v>
      </c>
      <c r="C82" s="15" t="str">
        <f>"2610"</f>
        <v>2610</v>
      </c>
      <c r="D82" s="15" t="str">
        <f t="shared" si="4"/>
        <v>COMPING D.O.O.</v>
      </c>
      <c r="E82" s="16">
        <v>42311</v>
      </c>
      <c r="F82" s="16">
        <v>42311</v>
      </c>
      <c r="G82" s="13">
        <v>5177</v>
      </c>
      <c r="H82" s="16">
        <v>42311</v>
      </c>
      <c r="I82" s="13">
        <v>5177</v>
      </c>
      <c r="J82" s="13">
        <f t="shared" si="3"/>
        <v>6471.25</v>
      </c>
      <c r="K82" s="6"/>
    </row>
    <row r="83" spans="1:11" x14ac:dyDescent="0.25">
      <c r="A83" s="3">
        <v>25</v>
      </c>
      <c r="B83" s="14" t="s">
        <v>51</v>
      </c>
      <c r="C83" s="15" t="str">
        <f>"2538"</f>
        <v>2538</v>
      </c>
      <c r="D83" s="15" t="str">
        <f t="shared" si="4"/>
        <v>COMPING D.O.O.</v>
      </c>
      <c r="E83" s="16">
        <v>42304</v>
      </c>
      <c r="F83" s="16">
        <v>42304</v>
      </c>
      <c r="G83" s="13">
        <v>44946</v>
      </c>
      <c r="H83" s="16">
        <v>42304</v>
      </c>
      <c r="I83" s="13">
        <v>44946</v>
      </c>
      <c r="J83" s="13">
        <f t="shared" si="3"/>
        <v>56182.5</v>
      </c>
      <c r="K83" s="6"/>
    </row>
    <row r="84" spans="1:11" x14ac:dyDescent="0.25">
      <c r="A84" s="3">
        <v>26</v>
      </c>
      <c r="B84" s="14" t="s">
        <v>96</v>
      </c>
      <c r="C84" s="15" t="str">
        <f>"2/2015-20"</f>
        <v>2/2015-20</v>
      </c>
      <c r="D84" s="15" t="str">
        <f t="shared" si="4"/>
        <v>COMPING D.O.O.</v>
      </c>
      <c r="E84" s="16">
        <v>42293</v>
      </c>
      <c r="F84" s="16">
        <v>42324</v>
      </c>
      <c r="G84" s="13">
        <v>284658</v>
      </c>
      <c r="H84" s="16">
        <v>42324</v>
      </c>
      <c r="I84" s="13">
        <v>284658</v>
      </c>
      <c r="J84" s="13">
        <f t="shared" si="3"/>
        <v>355822.5</v>
      </c>
      <c r="K84" s="6"/>
    </row>
    <row r="85" spans="1:11" x14ac:dyDescent="0.25">
      <c r="A85" s="3">
        <v>27</v>
      </c>
      <c r="B85" s="14" t="s">
        <v>51</v>
      </c>
      <c r="C85" s="15" t="str">
        <f>"2336"</f>
        <v>2336</v>
      </c>
      <c r="D85" s="15" t="str">
        <f t="shared" si="4"/>
        <v>COMPING D.O.O.</v>
      </c>
      <c r="E85" s="16">
        <v>42289</v>
      </c>
      <c r="F85" s="16">
        <v>42289</v>
      </c>
      <c r="G85" s="13">
        <v>145558</v>
      </c>
      <c r="H85" s="16">
        <v>42289</v>
      </c>
      <c r="I85" s="13">
        <v>145558</v>
      </c>
      <c r="J85" s="13">
        <f t="shared" si="3"/>
        <v>181947.5</v>
      </c>
      <c r="K85" s="6"/>
    </row>
    <row r="86" spans="1:11" ht="24" x14ac:dyDescent="0.25">
      <c r="A86" s="3">
        <v>28</v>
      </c>
      <c r="B86" s="14" t="s">
        <v>58</v>
      </c>
      <c r="C86" s="15" t="str">
        <f>"4500010370"</f>
        <v>4500010370</v>
      </c>
      <c r="D86" s="15" t="str">
        <f t="shared" si="4"/>
        <v>COMPING D.O.O.</v>
      </c>
      <c r="E86" s="16">
        <v>42485</v>
      </c>
      <c r="F86" s="16">
        <v>42276</v>
      </c>
      <c r="G86" s="13">
        <v>179480</v>
      </c>
      <c r="H86" s="16">
        <v>42276</v>
      </c>
      <c r="I86" s="13">
        <v>179480</v>
      </c>
      <c r="J86" s="13">
        <f t="shared" si="3"/>
        <v>224350</v>
      </c>
      <c r="K86" s="6"/>
    </row>
    <row r="87" spans="1:11" ht="24" x14ac:dyDescent="0.25">
      <c r="A87" s="3">
        <v>29</v>
      </c>
      <c r="B87" s="14" t="s">
        <v>42</v>
      </c>
      <c r="C87" s="15" t="str">
        <f>"SNUG-204-15-0047"</f>
        <v>SNUG-204-15-0047</v>
      </c>
      <c r="D87" s="15" t="str">
        <f t="shared" si="4"/>
        <v>COMPING D.O.O.</v>
      </c>
      <c r="E87" s="16">
        <v>42246</v>
      </c>
      <c r="F87" s="16">
        <v>42277</v>
      </c>
      <c r="G87" s="13">
        <v>994626</v>
      </c>
      <c r="H87" s="16">
        <v>42277</v>
      </c>
      <c r="I87" s="13">
        <v>994626</v>
      </c>
      <c r="J87" s="13">
        <f t="shared" si="3"/>
        <v>1243282.5</v>
      </c>
      <c r="K87" s="6"/>
    </row>
    <row r="88" spans="1:11" ht="36" x14ac:dyDescent="0.25">
      <c r="A88" s="3">
        <v>30</v>
      </c>
      <c r="B88" s="14" t="s">
        <v>59</v>
      </c>
      <c r="C88" s="15" t="str">
        <f>"03-A-A-0216/15-21"</f>
        <v>03-A-A-0216/15-21</v>
      </c>
      <c r="D88" s="15" t="str">
        <f t="shared" si="4"/>
        <v>COMPING D.O.O.</v>
      </c>
      <c r="E88" s="16">
        <v>42214</v>
      </c>
      <c r="F88" s="16">
        <v>42245</v>
      </c>
      <c r="G88" s="13">
        <v>76575</v>
      </c>
      <c r="H88" s="16">
        <v>42245</v>
      </c>
      <c r="I88" s="13">
        <v>76575</v>
      </c>
      <c r="J88" s="13">
        <f t="shared" si="3"/>
        <v>95718.75</v>
      </c>
      <c r="K88" s="6"/>
    </row>
    <row r="89" spans="1:11" ht="24" x14ac:dyDescent="0.25">
      <c r="A89" s="3">
        <v>31</v>
      </c>
      <c r="B89" s="14" t="s">
        <v>27</v>
      </c>
      <c r="C89" s="15" t="str">
        <f>"0003250/010/SFF/JK"</f>
        <v>0003250/010/SFF/JK</v>
      </c>
      <c r="D89" s="15" t="str">
        <f t="shared" si="4"/>
        <v>COMPING D.O.O.</v>
      </c>
      <c r="E89" s="16">
        <v>42213</v>
      </c>
      <c r="F89" s="16">
        <v>42244</v>
      </c>
      <c r="G89" s="13">
        <v>5177</v>
      </c>
      <c r="H89" s="16">
        <v>42244</v>
      </c>
      <c r="I89" s="13">
        <v>5177</v>
      </c>
      <c r="J89" s="13">
        <f t="shared" si="3"/>
        <v>6471.25</v>
      </c>
      <c r="K89" s="6"/>
    </row>
    <row r="90" spans="1:11" ht="24" x14ac:dyDescent="0.25">
      <c r="A90" s="3">
        <v>32</v>
      </c>
      <c r="B90" s="14" t="s">
        <v>39</v>
      </c>
      <c r="C90" s="15" t="str">
        <f>"34/15"</f>
        <v>34/15</v>
      </c>
      <c r="D90" s="15" t="str">
        <f t="shared" si="4"/>
        <v>COMPING D.O.O.</v>
      </c>
      <c r="E90" s="16">
        <v>42468</v>
      </c>
      <c r="F90" s="16">
        <v>42308</v>
      </c>
      <c r="G90" s="13">
        <v>249700</v>
      </c>
      <c r="H90" s="16">
        <v>42308</v>
      </c>
      <c r="I90" s="13">
        <v>249700</v>
      </c>
      <c r="J90" s="13">
        <f t="shared" si="3"/>
        <v>312125</v>
      </c>
      <c r="K90" s="6"/>
    </row>
    <row r="91" spans="1:11" ht="24" x14ac:dyDescent="0.25">
      <c r="A91" s="3">
        <v>33</v>
      </c>
      <c r="B91" s="14" t="s">
        <v>62</v>
      </c>
      <c r="C91" s="15" t="str">
        <f>"2/2015-10"</f>
        <v>2/2015-10</v>
      </c>
      <c r="D91" s="15" t="str">
        <f t="shared" si="4"/>
        <v>COMPING D.O.O.</v>
      </c>
      <c r="E91" s="16">
        <v>42209</v>
      </c>
      <c r="F91" s="16">
        <v>42369</v>
      </c>
      <c r="G91" s="13">
        <v>517928</v>
      </c>
      <c r="H91" s="16">
        <v>42369</v>
      </c>
      <c r="I91" s="13">
        <v>517928</v>
      </c>
      <c r="J91" s="13">
        <f t="shared" si="3"/>
        <v>647410</v>
      </c>
      <c r="K91" s="6"/>
    </row>
    <row r="92" spans="1:11" x14ac:dyDescent="0.25">
      <c r="A92" s="3">
        <v>34</v>
      </c>
      <c r="B92" s="14" t="s">
        <v>96</v>
      </c>
      <c r="C92" s="15" t="str">
        <f>"2/2015-1/1"</f>
        <v>2/2015-1/1</v>
      </c>
      <c r="D92" s="15" t="str">
        <f t="shared" si="4"/>
        <v>COMPING D.O.O.</v>
      </c>
      <c r="E92" s="16">
        <v>42207</v>
      </c>
      <c r="F92" s="16">
        <v>42238</v>
      </c>
      <c r="G92" s="13">
        <v>50968</v>
      </c>
      <c r="H92" s="16">
        <v>42238</v>
      </c>
      <c r="I92" s="13">
        <v>50968</v>
      </c>
      <c r="J92" s="13">
        <f t="shared" si="3"/>
        <v>63710</v>
      </c>
      <c r="K92" s="6"/>
    </row>
    <row r="93" spans="1:11" ht="24" x14ac:dyDescent="0.25">
      <c r="A93" s="3">
        <v>35</v>
      </c>
      <c r="B93" s="14" t="s">
        <v>43</v>
      </c>
      <c r="C93" s="15" t="str">
        <f>"2/2015-6"</f>
        <v>2/2015-6</v>
      </c>
      <c r="D93" s="15" t="str">
        <f t="shared" si="4"/>
        <v>COMPING D.O.O.</v>
      </c>
      <c r="E93" s="16">
        <v>42206</v>
      </c>
      <c r="F93" s="16">
        <v>42237</v>
      </c>
      <c r="G93" s="13">
        <v>124850</v>
      </c>
      <c r="H93" s="16">
        <v>42237</v>
      </c>
      <c r="I93" s="13">
        <v>124850</v>
      </c>
      <c r="J93" s="13">
        <f t="shared" si="3"/>
        <v>156062.5</v>
      </c>
      <c r="K93" s="6"/>
    </row>
    <row r="94" spans="1:11" ht="24" x14ac:dyDescent="0.25">
      <c r="A94" s="3">
        <v>36</v>
      </c>
      <c r="B94" s="14" t="s">
        <v>27</v>
      </c>
      <c r="C94" s="15" t="str">
        <f>"2/2015-3-3"</f>
        <v>2/2015-3-3</v>
      </c>
      <c r="D94" s="15" t="str">
        <f t="shared" si="4"/>
        <v>COMPING D.O.O.</v>
      </c>
      <c r="E94" s="16">
        <v>42205</v>
      </c>
      <c r="F94" s="16">
        <v>42236</v>
      </c>
      <c r="G94" s="13">
        <v>616662</v>
      </c>
      <c r="H94" s="16">
        <v>42236</v>
      </c>
      <c r="I94" s="13">
        <v>616662</v>
      </c>
      <c r="J94" s="13">
        <f t="shared" si="3"/>
        <v>770827.5</v>
      </c>
      <c r="K94" s="6"/>
    </row>
    <row r="95" spans="1:11" ht="24" x14ac:dyDescent="0.25">
      <c r="A95" s="3">
        <v>37</v>
      </c>
      <c r="B95" s="14" t="s">
        <v>28</v>
      </c>
      <c r="C95" s="15" t="str">
        <f>"2/2015-33"</f>
        <v>2/2015-33</v>
      </c>
      <c r="D95" s="15" t="str">
        <f t="shared" si="4"/>
        <v>COMPING D.O.O.</v>
      </c>
      <c r="E95" s="16">
        <v>42202</v>
      </c>
      <c r="F95" s="16">
        <v>42233</v>
      </c>
      <c r="G95" s="13">
        <v>70582</v>
      </c>
      <c r="H95" s="16">
        <v>42233</v>
      </c>
      <c r="I95" s="13">
        <v>70582</v>
      </c>
      <c r="J95" s="13">
        <f t="shared" si="3"/>
        <v>88227.5</v>
      </c>
      <c r="K95" s="6"/>
    </row>
    <row r="96" spans="1:11" x14ac:dyDescent="0.25">
      <c r="A96" s="3">
        <v>38</v>
      </c>
      <c r="B96" s="14" t="s">
        <v>29</v>
      </c>
      <c r="C96" s="15" t="str">
        <f>"15424"</f>
        <v>15424</v>
      </c>
      <c r="D96" s="15" t="str">
        <f>CONCATENATE("KING ICT D.O.O.")</f>
        <v>KING ICT D.O.O.</v>
      </c>
      <c r="E96" s="16">
        <v>42199</v>
      </c>
      <c r="F96" s="16">
        <v>42230</v>
      </c>
      <c r="G96" s="13">
        <v>60660</v>
      </c>
      <c r="H96" s="16">
        <v>42230</v>
      </c>
      <c r="I96" s="13">
        <v>26844</v>
      </c>
      <c r="J96" s="13">
        <f t="shared" si="3"/>
        <v>33555</v>
      </c>
      <c r="K96" s="6"/>
    </row>
    <row r="97" spans="1:11" ht="24" x14ac:dyDescent="0.25">
      <c r="A97" s="3">
        <v>39</v>
      </c>
      <c r="B97" s="14" t="s">
        <v>58</v>
      </c>
      <c r="C97" s="15" t="str">
        <f>"4500010003"</f>
        <v>4500010003</v>
      </c>
      <c r="D97" s="15" t="str">
        <f>CONCATENATE("COMPING D.O.O.")</f>
        <v>COMPING D.O.O.</v>
      </c>
      <c r="E97" s="16">
        <v>42485</v>
      </c>
      <c r="F97" s="16">
        <v>42219</v>
      </c>
      <c r="G97" s="13">
        <v>153840</v>
      </c>
      <c r="H97" s="16">
        <v>42219</v>
      </c>
      <c r="I97" s="13">
        <v>153840</v>
      </c>
      <c r="J97" s="13">
        <f t="shared" si="3"/>
        <v>192300</v>
      </c>
      <c r="K97" s="6"/>
    </row>
    <row r="98" spans="1:11" ht="24" x14ac:dyDescent="0.25">
      <c r="A98" s="3">
        <v>40</v>
      </c>
      <c r="B98" s="14" t="s">
        <v>55</v>
      </c>
      <c r="C98" s="15" t="str">
        <f>"34-6-15-1"</f>
        <v>34-6-15-1</v>
      </c>
      <c r="D98" s="15" t="str">
        <f>CONCATENATE("COMPING D.O.O.")</f>
        <v>COMPING D.O.O.</v>
      </c>
      <c r="E98" s="16">
        <v>42185</v>
      </c>
      <c r="F98" s="16">
        <v>42369</v>
      </c>
      <c r="G98" s="13">
        <v>263197.34000000003</v>
      </c>
      <c r="H98" s="16">
        <v>42369</v>
      </c>
      <c r="I98" s="13">
        <v>263197.34000000003</v>
      </c>
      <c r="J98" s="13">
        <f t="shared" si="3"/>
        <v>328996.67500000005</v>
      </c>
      <c r="K98" s="6"/>
    </row>
    <row r="99" spans="1:11" x14ac:dyDescent="0.25">
      <c r="A99" s="3">
        <v>41</v>
      </c>
      <c r="B99" s="14" t="s">
        <v>53</v>
      </c>
      <c r="C99" s="15" t="str">
        <f>"2/2015-2/3-MB"</f>
        <v>2/2015-2/3-MB</v>
      </c>
      <c r="D99" s="15" t="str">
        <f>CONCATENATE("COMPING D.O.O.")</f>
        <v>COMPING D.O.O.</v>
      </c>
      <c r="E99" s="16">
        <v>42167</v>
      </c>
      <c r="F99" s="16">
        <v>42898</v>
      </c>
      <c r="G99" s="13">
        <v>0</v>
      </c>
      <c r="H99" s="16">
        <v>42898</v>
      </c>
      <c r="I99" s="13">
        <v>0</v>
      </c>
      <c r="J99" s="13">
        <f t="shared" si="3"/>
        <v>0</v>
      </c>
      <c r="K99" s="6"/>
    </row>
    <row r="100" spans="1:11" ht="7.5" customHeight="1" x14ac:dyDescent="0.25"/>
    <row r="101" spans="1:11" ht="42" customHeight="1" x14ac:dyDescent="0.25">
      <c r="A101" s="1" t="s">
        <v>0</v>
      </c>
      <c r="B101" s="2" t="s">
        <v>1</v>
      </c>
      <c r="C101" s="2" t="s">
        <v>6</v>
      </c>
      <c r="D101" s="2" t="s">
        <v>2</v>
      </c>
      <c r="E101" s="2" t="s">
        <v>3</v>
      </c>
      <c r="F101" s="2" t="s">
        <v>7</v>
      </c>
      <c r="G101" s="2" t="s">
        <v>8</v>
      </c>
      <c r="H101" s="2" t="s">
        <v>4</v>
      </c>
      <c r="I101" s="2" t="s">
        <v>5</v>
      </c>
    </row>
    <row r="102" spans="1:11" ht="25.5" x14ac:dyDescent="0.25">
      <c r="A102" s="3">
        <v>1</v>
      </c>
      <c r="B102" s="32" t="s">
        <v>664</v>
      </c>
      <c r="C102" s="3" t="s">
        <v>135</v>
      </c>
      <c r="D102" s="3" t="s">
        <v>683</v>
      </c>
      <c r="E102" s="3" t="s">
        <v>24</v>
      </c>
      <c r="F102" s="21">
        <v>42167</v>
      </c>
      <c r="G102" s="3" t="s">
        <v>659</v>
      </c>
      <c r="H102" s="13">
        <v>5700000</v>
      </c>
      <c r="I102" s="13">
        <v>6240961.5</v>
      </c>
    </row>
    <row r="103" spans="1:11" x14ac:dyDescent="0.25">
      <c r="A103" s="42" t="s">
        <v>706</v>
      </c>
      <c r="B103" s="43"/>
      <c r="C103" s="43"/>
      <c r="D103" s="43"/>
      <c r="E103" s="43"/>
      <c r="F103" s="43"/>
      <c r="G103" s="43"/>
      <c r="H103" s="44"/>
      <c r="I103" s="13">
        <v>545059.67000000004</v>
      </c>
    </row>
    <row r="104" spans="1:11" ht="7.5" customHeight="1" x14ac:dyDescent="0.25"/>
    <row r="105" spans="1:11" x14ac:dyDescent="0.25">
      <c r="A105" s="46" t="s">
        <v>20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ht="63.75" customHeight="1" x14ac:dyDescent="0.25">
      <c r="A106" s="4" t="s">
        <v>0</v>
      </c>
      <c r="B106" s="5" t="s">
        <v>10</v>
      </c>
      <c r="C106" s="5" t="s">
        <v>9</v>
      </c>
      <c r="D106" s="5" t="s">
        <v>13</v>
      </c>
      <c r="E106" s="5" t="s">
        <v>12</v>
      </c>
      <c r="F106" s="5" t="s">
        <v>11</v>
      </c>
      <c r="G106" s="5" t="s">
        <v>18</v>
      </c>
      <c r="H106" s="5" t="s">
        <v>14</v>
      </c>
      <c r="I106" s="5" t="s">
        <v>15</v>
      </c>
      <c r="J106" s="5" t="s">
        <v>16</v>
      </c>
      <c r="K106" s="5" t="s">
        <v>17</v>
      </c>
    </row>
    <row r="107" spans="1:11" x14ac:dyDescent="0.25">
      <c r="A107" s="3">
        <v>1</v>
      </c>
      <c r="B107" s="14" t="s">
        <v>90</v>
      </c>
      <c r="C107" s="15" t="str">
        <f>"01039/2015"</f>
        <v>01039/2015</v>
      </c>
      <c r="D107" s="15" t="str">
        <f t="shared" ref="D107:D128" si="5">CONCATENATE("KING ICT D.O.O.")</f>
        <v>KING ICT D.O.O.</v>
      </c>
      <c r="E107" s="16">
        <v>42312</v>
      </c>
      <c r="F107" s="16"/>
      <c r="G107" s="13">
        <v>7284</v>
      </c>
      <c r="H107" s="16"/>
      <c r="I107" s="13">
        <v>7284</v>
      </c>
      <c r="J107" s="13">
        <f>I107*1.25</f>
        <v>9105</v>
      </c>
      <c r="K107" s="6"/>
    </row>
    <row r="108" spans="1:11" x14ac:dyDescent="0.25">
      <c r="A108" s="3">
        <v>2</v>
      </c>
      <c r="B108" s="14" t="s">
        <v>42</v>
      </c>
      <c r="C108" s="15" t="str">
        <f>"NND-204-15-248"</f>
        <v>NND-204-15-248</v>
      </c>
      <c r="D108" s="15" t="str">
        <f t="shared" si="5"/>
        <v>KING ICT D.O.O.</v>
      </c>
      <c r="E108" s="16">
        <v>42339</v>
      </c>
      <c r="F108" s="16">
        <v>42353</v>
      </c>
      <c r="G108" s="13">
        <v>12568</v>
      </c>
      <c r="H108" s="16">
        <v>42353</v>
      </c>
      <c r="I108" s="13">
        <v>12568</v>
      </c>
      <c r="J108" s="13">
        <f t="shared" ref="J108:J128" si="6">I108*1.25</f>
        <v>15710</v>
      </c>
      <c r="K108" s="6"/>
    </row>
    <row r="109" spans="1:11" ht="36" x14ac:dyDescent="0.25">
      <c r="A109" s="3">
        <v>3</v>
      </c>
      <c r="B109" s="14" t="s">
        <v>106</v>
      </c>
      <c r="C109" s="15" t="str">
        <f>"NAR/2015-REVIZIJA-GRUPA 4/5"</f>
        <v>NAR/2015-REVIZIJA-GRUPA 4/5</v>
      </c>
      <c r="D109" s="15" t="str">
        <f t="shared" si="5"/>
        <v>KING ICT D.O.O.</v>
      </c>
      <c r="E109" s="16">
        <v>42167</v>
      </c>
      <c r="F109" s="16">
        <v>42369</v>
      </c>
      <c r="G109" s="13">
        <v>2468</v>
      </c>
      <c r="H109" s="16">
        <v>42369</v>
      </c>
      <c r="I109" s="13">
        <v>2468</v>
      </c>
      <c r="J109" s="13">
        <f t="shared" si="6"/>
        <v>3085</v>
      </c>
      <c r="K109" s="6"/>
    </row>
    <row r="110" spans="1:11" ht="24" x14ac:dyDescent="0.25">
      <c r="A110" s="3">
        <v>4</v>
      </c>
      <c r="B110" s="14" t="s">
        <v>47</v>
      </c>
      <c r="C110" s="15" t="str">
        <f>"95/2015/R"</f>
        <v>95/2015/R</v>
      </c>
      <c r="D110" s="15" t="str">
        <f t="shared" si="5"/>
        <v>KING ICT D.O.O.</v>
      </c>
      <c r="E110" s="16">
        <v>42286</v>
      </c>
      <c r="F110" s="16"/>
      <c r="G110" s="13">
        <v>24457.26</v>
      </c>
      <c r="H110" s="16"/>
      <c r="I110" s="13">
        <v>24457.26</v>
      </c>
      <c r="J110" s="13">
        <f t="shared" si="6"/>
        <v>30571.574999999997</v>
      </c>
      <c r="K110" s="6"/>
    </row>
    <row r="111" spans="1:11" ht="24" x14ac:dyDescent="0.25">
      <c r="A111" s="3">
        <v>5</v>
      </c>
      <c r="B111" s="14" t="s">
        <v>45</v>
      </c>
      <c r="C111" s="15" t="str">
        <f>"2/2015-4/5-U1"</f>
        <v>2/2015-4/5-U1</v>
      </c>
      <c r="D111" s="15" t="str">
        <f t="shared" si="5"/>
        <v>KING ICT D.O.O.</v>
      </c>
      <c r="E111" s="16">
        <v>42264</v>
      </c>
      <c r="F111" s="16"/>
      <c r="G111" s="13">
        <v>16000</v>
      </c>
      <c r="H111" s="16"/>
      <c r="I111" s="13">
        <v>6705</v>
      </c>
      <c r="J111" s="13">
        <f t="shared" si="6"/>
        <v>8381.25</v>
      </c>
      <c r="K111" s="6"/>
    </row>
    <row r="112" spans="1:11" ht="24" x14ac:dyDescent="0.25">
      <c r="A112" s="3">
        <v>6</v>
      </c>
      <c r="B112" s="14" t="s">
        <v>32</v>
      </c>
      <c r="C112" s="15" t="str">
        <f>"DHMZ-GRUPA4/5-2015"</f>
        <v>DHMZ-GRUPA4/5-2015</v>
      </c>
      <c r="D112" s="15" t="str">
        <f t="shared" si="5"/>
        <v>KING ICT D.O.O.</v>
      </c>
      <c r="E112" s="16">
        <v>42261</v>
      </c>
      <c r="F112" s="16"/>
      <c r="G112" s="13">
        <v>4868.6099999999997</v>
      </c>
      <c r="H112" s="16"/>
      <c r="I112" s="13">
        <v>4868.6099999999997</v>
      </c>
      <c r="J112" s="13">
        <f t="shared" si="6"/>
        <v>6085.7624999999998</v>
      </c>
      <c r="K112" s="6"/>
    </row>
    <row r="113" spans="1:11" ht="24" x14ac:dyDescent="0.25">
      <c r="A113" s="3">
        <v>7</v>
      </c>
      <c r="B113" s="14" t="s">
        <v>50</v>
      </c>
      <c r="C113" s="15" t="str">
        <f>"71-2015"</f>
        <v>71-2015</v>
      </c>
      <c r="D113" s="15" t="str">
        <f t="shared" si="5"/>
        <v>KING ICT D.O.O.</v>
      </c>
      <c r="E113" s="16">
        <v>42297</v>
      </c>
      <c r="F113" s="16"/>
      <c r="G113" s="13">
        <v>6558.62</v>
      </c>
      <c r="H113" s="16"/>
      <c r="I113" s="13">
        <v>6558.62</v>
      </c>
      <c r="J113" s="13">
        <f t="shared" si="6"/>
        <v>8198.2749999999996</v>
      </c>
      <c r="K113" s="6"/>
    </row>
    <row r="114" spans="1:11" x14ac:dyDescent="0.25">
      <c r="A114" s="3">
        <v>8</v>
      </c>
      <c r="B114" s="14" t="s">
        <v>49</v>
      </c>
      <c r="C114" s="15" t="str">
        <f>"683/2015"</f>
        <v>683/2015</v>
      </c>
      <c r="D114" s="15" t="str">
        <f t="shared" si="5"/>
        <v>KING ICT D.O.O.</v>
      </c>
      <c r="E114" s="16">
        <v>42186</v>
      </c>
      <c r="F114" s="16"/>
      <c r="G114" s="13">
        <v>2237</v>
      </c>
      <c r="H114" s="16"/>
      <c r="I114" s="13">
        <v>6751</v>
      </c>
      <c r="J114" s="13">
        <f t="shared" si="6"/>
        <v>8438.75</v>
      </c>
      <c r="K114" s="6"/>
    </row>
    <row r="115" spans="1:11" ht="36" x14ac:dyDescent="0.25">
      <c r="A115" s="3">
        <v>9</v>
      </c>
      <c r="B115" s="14" t="s">
        <v>97</v>
      </c>
      <c r="C115" s="15" t="str">
        <f>"NAR/2015-UDRUGE- GRUPA 4/5"</f>
        <v>NAR/2015-UDRUGE- GRUPA 4/5</v>
      </c>
      <c r="D115" s="15" t="str">
        <f t="shared" si="5"/>
        <v>KING ICT D.O.O.</v>
      </c>
      <c r="E115" s="16">
        <v>42167</v>
      </c>
      <c r="F115" s="16">
        <v>42369</v>
      </c>
      <c r="G115" s="13">
        <v>3940</v>
      </c>
      <c r="H115" s="16">
        <v>42369</v>
      </c>
      <c r="I115" s="13">
        <v>3940</v>
      </c>
      <c r="J115" s="13">
        <f t="shared" si="6"/>
        <v>4925</v>
      </c>
      <c r="K115" s="6"/>
    </row>
    <row r="116" spans="1:11" ht="24" x14ac:dyDescent="0.25">
      <c r="A116" s="3">
        <v>10</v>
      </c>
      <c r="B116" s="14" t="s">
        <v>31</v>
      </c>
      <c r="C116" s="15" t="str">
        <f>"U094/15"</f>
        <v>U094/15</v>
      </c>
      <c r="D116" s="15" t="str">
        <f t="shared" si="5"/>
        <v>KING ICT D.O.O.</v>
      </c>
      <c r="E116" s="16">
        <v>42219</v>
      </c>
      <c r="F116" s="16"/>
      <c r="G116" s="13">
        <v>119470.58</v>
      </c>
      <c r="H116" s="16"/>
      <c r="I116" s="13">
        <v>119470.58</v>
      </c>
      <c r="J116" s="13">
        <f t="shared" si="6"/>
        <v>149338.22500000001</v>
      </c>
      <c r="K116" s="6"/>
    </row>
    <row r="117" spans="1:11" ht="24" x14ac:dyDescent="0.25">
      <c r="A117" s="3">
        <v>11</v>
      </c>
      <c r="B117" s="14" t="s">
        <v>107</v>
      </c>
      <c r="C117" s="15" t="str">
        <f>"NAR/2015-URS-GRUPA 4/5"</f>
        <v>NAR/2015-URS-GRUPA 4/5</v>
      </c>
      <c r="D117" s="15" t="str">
        <f t="shared" si="5"/>
        <v>KING ICT D.O.O.</v>
      </c>
      <c r="E117" s="16">
        <v>42167</v>
      </c>
      <c r="F117" s="16">
        <v>42369</v>
      </c>
      <c r="G117" s="13">
        <v>154</v>
      </c>
      <c r="H117" s="16">
        <v>42369</v>
      </c>
      <c r="I117" s="13">
        <v>154</v>
      </c>
      <c r="J117" s="13">
        <f t="shared" si="6"/>
        <v>192.5</v>
      </c>
      <c r="K117" s="6"/>
    </row>
    <row r="118" spans="1:11" x14ac:dyDescent="0.25">
      <c r="A118" s="3">
        <v>12</v>
      </c>
      <c r="B118" s="14" t="s">
        <v>96</v>
      </c>
      <c r="C118" s="15" t="str">
        <f>"530/2015"</f>
        <v>530/2015</v>
      </c>
      <c r="D118" s="15" t="str">
        <f t="shared" si="5"/>
        <v>KING ICT D.O.O.</v>
      </c>
      <c r="E118" s="16">
        <v>42338</v>
      </c>
      <c r="F118" s="16"/>
      <c r="G118" s="13">
        <v>7284</v>
      </c>
      <c r="H118" s="16"/>
      <c r="I118" s="13">
        <v>7284</v>
      </c>
      <c r="J118" s="13">
        <f t="shared" si="6"/>
        <v>9105</v>
      </c>
      <c r="K118" s="6"/>
    </row>
    <row r="119" spans="1:11" ht="24" x14ac:dyDescent="0.25">
      <c r="A119" s="3">
        <v>13</v>
      </c>
      <c r="B119" s="14" t="s">
        <v>28</v>
      </c>
      <c r="C119" s="15" t="str">
        <f>"MGPU 2/2015-4/5"</f>
        <v>MGPU 2/2015-4/5</v>
      </c>
      <c r="D119" s="15" t="str">
        <f t="shared" si="5"/>
        <v>KING ICT D.O.O.</v>
      </c>
      <c r="E119" s="16">
        <v>42188</v>
      </c>
      <c r="F119" s="16">
        <v>42219</v>
      </c>
      <c r="G119" s="13">
        <v>64562.93</v>
      </c>
      <c r="H119" s="16">
        <v>42219</v>
      </c>
      <c r="I119" s="13">
        <v>64562.93</v>
      </c>
      <c r="J119" s="13">
        <f t="shared" si="6"/>
        <v>80703.662500000006</v>
      </c>
      <c r="K119" s="6"/>
    </row>
    <row r="120" spans="1:11" ht="36" x14ac:dyDescent="0.25">
      <c r="A120" s="3">
        <v>14</v>
      </c>
      <c r="B120" s="14" t="s">
        <v>102</v>
      </c>
      <c r="C120" s="15" t="str">
        <f>"NAR/2015-SAVJET-GRUPA 4/5"</f>
        <v>NAR/2015-SAVJET-GRUPA 4/5</v>
      </c>
      <c r="D120" s="15" t="str">
        <f t="shared" si="5"/>
        <v>KING ICT D.O.O.</v>
      </c>
      <c r="E120" s="16">
        <v>42167</v>
      </c>
      <c r="F120" s="16">
        <v>42369</v>
      </c>
      <c r="G120" s="13">
        <v>2528</v>
      </c>
      <c r="H120" s="16">
        <v>42369</v>
      </c>
      <c r="I120" s="13">
        <v>2528</v>
      </c>
      <c r="J120" s="13">
        <f t="shared" si="6"/>
        <v>3160</v>
      </c>
      <c r="K120" s="6"/>
    </row>
    <row r="121" spans="1:11" ht="24" x14ac:dyDescent="0.25">
      <c r="A121" s="3">
        <v>15</v>
      </c>
      <c r="B121" s="14" t="s">
        <v>81</v>
      </c>
      <c r="C121" s="15" t="str">
        <f>"NAR/2015-VRH-GRUPA 4/5"</f>
        <v>NAR/2015-VRH-GRUPA 4/5</v>
      </c>
      <c r="D121" s="15" t="str">
        <f t="shared" si="5"/>
        <v>KING ICT D.O.O.</v>
      </c>
      <c r="E121" s="16">
        <v>42167</v>
      </c>
      <c r="F121" s="16">
        <v>42369</v>
      </c>
      <c r="G121" s="13">
        <v>16304.84</v>
      </c>
      <c r="H121" s="16">
        <v>42369</v>
      </c>
      <c r="I121" s="13">
        <v>16304.84</v>
      </c>
      <c r="J121" s="13">
        <f t="shared" si="6"/>
        <v>20381.05</v>
      </c>
      <c r="K121" s="6"/>
    </row>
    <row r="122" spans="1:11" ht="36" x14ac:dyDescent="0.25">
      <c r="A122" s="3">
        <v>16</v>
      </c>
      <c r="B122" s="14" t="s">
        <v>34</v>
      </c>
      <c r="C122" s="15" t="str">
        <f>"NAR/2015-UZOP-GRUPA 4/5"</f>
        <v>NAR/2015-UZOP-GRUPA 4/5</v>
      </c>
      <c r="D122" s="15" t="str">
        <f t="shared" si="5"/>
        <v>KING ICT D.O.O.</v>
      </c>
      <c r="E122" s="16">
        <v>42167</v>
      </c>
      <c r="F122" s="16">
        <v>42369</v>
      </c>
      <c r="G122" s="13">
        <v>1627.37</v>
      </c>
      <c r="H122" s="16">
        <v>42369</v>
      </c>
      <c r="I122" s="13">
        <v>1627.37</v>
      </c>
      <c r="J122" s="13">
        <f t="shared" si="6"/>
        <v>2034.2124999999999</v>
      </c>
      <c r="K122" s="6"/>
    </row>
    <row r="123" spans="1:11" x14ac:dyDescent="0.25">
      <c r="A123" s="3">
        <v>17</v>
      </c>
      <c r="B123" s="14" t="s">
        <v>51</v>
      </c>
      <c r="C123" s="15" t="str">
        <f>"2298 DO 2997"</f>
        <v>2298 DO 2997</v>
      </c>
      <c r="D123" s="15" t="str">
        <f t="shared" si="5"/>
        <v>KING ICT D.O.O.</v>
      </c>
      <c r="E123" s="16">
        <v>42283</v>
      </c>
      <c r="F123" s="16">
        <v>42355</v>
      </c>
      <c r="G123" s="13">
        <v>63522</v>
      </c>
      <c r="H123" s="16">
        <v>42355</v>
      </c>
      <c r="I123" s="13">
        <v>63522</v>
      </c>
      <c r="J123" s="13">
        <f t="shared" si="6"/>
        <v>79402.5</v>
      </c>
      <c r="K123" s="6"/>
    </row>
    <row r="124" spans="1:11" x14ac:dyDescent="0.25">
      <c r="A124" s="3">
        <v>18</v>
      </c>
      <c r="B124" s="14" t="s">
        <v>54</v>
      </c>
      <c r="C124" s="15" t="str">
        <f>"2/2015-19-1"</f>
        <v>2/2015-19-1</v>
      </c>
      <c r="D124" s="15" t="str">
        <f t="shared" si="5"/>
        <v>KING ICT D.O.O.</v>
      </c>
      <c r="E124" s="16">
        <v>42271</v>
      </c>
      <c r="F124" s="16">
        <v>42301</v>
      </c>
      <c r="G124" s="13">
        <v>20877</v>
      </c>
      <c r="H124" s="16">
        <v>42301</v>
      </c>
      <c r="I124" s="13">
        <v>20877</v>
      </c>
      <c r="J124" s="13">
        <f t="shared" si="6"/>
        <v>26096.25</v>
      </c>
      <c r="K124" s="6"/>
    </row>
    <row r="125" spans="1:11" ht="36" x14ac:dyDescent="0.25">
      <c r="A125" s="3">
        <v>19</v>
      </c>
      <c r="B125" s="14" t="s">
        <v>59</v>
      </c>
      <c r="C125" s="15" t="str">
        <f>"03-A-A-0217/15-21"</f>
        <v>03-A-A-0217/15-21</v>
      </c>
      <c r="D125" s="15" t="str">
        <f t="shared" si="5"/>
        <v>KING ICT D.O.O.</v>
      </c>
      <c r="E125" s="16">
        <v>42216</v>
      </c>
      <c r="F125" s="16">
        <v>42247</v>
      </c>
      <c r="G125" s="13">
        <v>32430</v>
      </c>
      <c r="H125" s="16">
        <v>42247</v>
      </c>
      <c r="I125" s="13">
        <v>32430</v>
      </c>
      <c r="J125" s="13">
        <f t="shared" si="6"/>
        <v>40537.5</v>
      </c>
      <c r="K125" s="6"/>
    </row>
    <row r="126" spans="1:11" x14ac:dyDescent="0.25">
      <c r="A126" s="3">
        <v>20</v>
      </c>
      <c r="B126" s="14" t="s">
        <v>29</v>
      </c>
      <c r="C126" s="15" t="str">
        <f>"15425"</f>
        <v>15425</v>
      </c>
      <c r="D126" s="15" t="str">
        <f t="shared" si="5"/>
        <v>KING ICT D.O.O.</v>
      </c>
      <c r="E126" s="16">
        <v>42199</v>
      </c>
      <c r="F126" s="16">
        <v>42230</v>
      </c>
      <c r="G126" s="13">
        <v>26844</v>
      </c>
      <c r="H126" s="16">
        <v>42230</v>
      </c>
      <c r="I126" s="13">
        <v>26844</v>
      </c>
      <c r="J126" s="13">
        <f t="shared" si="6"/>
        <v>33555</v>
      </c>
      <c r="K126" s="6"/>
    </row>
    <row r="127" spans="1:11" ht="24" x14ac:dyDescent="0.25">
      <c r="A127" s="3">
        <v>21</v>
      </c>
      <c r="B127" s="14" t="s">
        <v>55</v>
      </c>
      <c r="C127" s="15" t="str">
        <f>"35-6-15-1"</f>
        <v>35-6-15-1</v>
      </c>
      <c r="D127" s="15" t="str">
        <f t="shared" si="5"/>
        <v>KING ICT D.O.O.</v>
      </c>
      <c r="E127" s="16">
        <v>42185</v>
      </c>
      <c r="F127" s="16">
        <v>42369</v>
      </c>
      <c r="G127" s="13">
        <v>107317.46</v>
      </c>
      <c r="H127" s="16">
        <v>42369</v>
      </c>
      <c r="I127" s="13">
        <v>107317.46</v>
      </c>
      <c r="J127" s="13">
        <f t="shared" si="6"/>
        <v>134146.82500000001</v>
      </c>
      <c r="K127" s="6"/>
    </row>
    <row r="128" spans="1:11" x14ac:dyDescent="0.25">
      <c r="A128" s="3">
        <v>22</v>
      </c>
      <c r="B128" s="14" t="s">
        <v>53</v>
      </c>
      <c r="C128" s="15" t="str">
        <f>"2/2015-4/5-MB"</f>
        <v>2/2015-4/5-MB</v>
      </c>
      <c r="D128" s="15" t="str">
        <f t="shared" si="5"/>
        <v>KING ICT D.O.O.</v>
      </c>
      <c r="E128" s="16">
        <v>42167</v>
      </c>
      <c r="F128" s="16">
        <v>42898</v>
      </c>
      <c r="G128" s="13">
        <v>0</v>
      </c>
      <c r="H128" s="16">
        <v>42898</v>
      </c>
      <c r="I128" s="13">
        <v>6537</v>
      </c>
      <c r="J128" s="13">
        <f t="shared" si="6"/>
        <v>8171.25</v>
      </c>
      <c r="K128" s="6"/>
    </row>
  </sheetData>
  <sheetProtection algorithmName="SHA-512" hashValue="loJOyqwOaXLfvC7ytA6+eBu3YoJNinwyhatXDcE674iiLl6Ca6AGE32DvcIwPNZ6zdVZrdMjTNrBZAz06XCT0g==" saltValue="Rb25VZ4fYCi1S2r9rlZDRg==" spinCount="100000" sheet="1" objects="1" scenarios="1"/>
  <mergeCells count="7">
    <mergeCell ref="A105:K105"/>
    <mergeCell ref="A1:I1"/>
    <mergeCell ref="A4:H4"/>
    <mergeCell ref="A6:K6"/>
    <mergeCell ref="A55:H55"/>
    <mergeCell ref="A57:K57"/>
    <mergeCell ref="A103:H103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D96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56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127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36" x14ac:dyDescent="0.25">
      <c r="A3" s="3">
        <v>1</v>
      </c>
      <c r="B3" s="19" t="s">
        <v>665</v>
      </c>
      <c r="C3" s="20" t="s">
        <v>144</v>
      </c>
      <c r="D3" s="3" t="s">
        <v>692</v>
      </c>
      <c r="E3" s="3" t="s">
        <v>24</v>
      </c>
      <c r="F3" s="21">
        <v>41505</v>
      </c>
      <c r="G3" s="3" t="s">
        <v>659</v>
      </c>
      <c r="H3" s="13">
        <v>40000000</v>
      </c>
      <c r="I3" s="13">
        <v>13147839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9337139.9299999997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33</v>
      </c>
      <c r="C8" s="15" t="str">
        <f>"406-01/13-01/148"</f>
        <v>406-01/13-01/148</v>
      </c>
      <c r="D8" s="15" t="str">
        <f t="shared" ref="D8:D56" si="0">CONCATENATE("HRVATSKI TELEKOM D.D.")</f>
        <v>HRVATSKI TELEKOM D.D.</v>
      </c>
      <c r="E8" s="16">
        <v>42004</v>
      </c>
      <c r="F8" s="16"/>
      <c r="G8" s="13">
        <v>100000</v>
      </c>
      <c r="H8" s="16"/>
      <c r="I8" s="13">
        <v>54611.02</v>
      </c>
      <c r="J8" s="13">
        <f>I8*1.25</f>
        <v>68263.774999999994</v>
      </c>
      <c r="K8" s="6"/>
    </row>
    <row r="9" spans="1:11" ht="36" x14ac:dyDescent="0.25">
      <c r="A9" s="3">
        <v>2</v>
      </c>
      <c r="B9" s="14" t="s">
        <v>34</v>
      </c>
      <c r="C9" s="15" t="str">
        <f>"8/UZOP/2014"</f>
        <v>8/UZOP/2014</v>
      </c>
      <c r="D9" s="15" t="str">
        <f t="shared" si="0"/>
        <v>HRVATSKI TELEKOM D.D.</v>
      </c>
      <c r="E9" s="16">
        <v>41717</v>
      </c>
      <c r="F9" s="16">
        <v>42235</v>
      </c>
      <c r="G9" s="13">
        <v>0</v>
      </c>
      <c r="H9" s="16">
        <v>42235</v>
      </c>
      <c r="I9" s="13">
        <v>228736.84</v>
      </c>
      <c r="J9" s="13">
        <f t="shared" ref="J9:J56" si="1">I9*1.25</f>
        <v>285921.05</v>
      </c>
      <c r="K9" s="6"/>
    </row>
    <row r="10" spans="1:11" x14ac:dyDescent="0.25">
      <c r="A10" s="3">
        <v>3</v>
      </c>
      <c r="B10" s="14" t="s">
        <v>49</v>
      </c>
      <c r="C10" s="15" t="str">
        <f>"306/2015"</f>
        <v>306/2015</v>
      </c>
      <c r="D10" s="15" t="str">
        <f t="shared" si="0"/>
        <v>HRVATSKI TELEKOM D.D.</v>
      </c>
      <c r="E10" s="16">
        <v>42087</v>
      </c>
      <c r="F10" s="16"/>
      <c r="G10" s="13">
        <v>78.400000000000006</v>
      </c>
      <c r="H10" s="16"/>
      <c r="I10" s="13">
        <v>78.400000000000006</v>
      </c>
      <c r="J10" s="13">
        <f t="shared" si="1"/>
        <v>98</v>
      </c>
      <c r="K10" s="6"/>
    </row>
    <row r="11" spans="1:11" x14ac:dyDescent="0.25">
      <c r="A11" s="3">
        <v>4</v>
      </c>
      <c r="B11" s="14" t="s">
        <v>49</v>
      </c>
      <c r="C11" s="15" t="str">
        <f>"663/2015"</f>
        <v>663/2015</v>
      </c>
      <c r="D11" s="15" t="str">
        <f t="shared" si="0"/>
        <v>HRVATSKI TELEKOM D.D.</v>
      </c>
      <c r="E11" s="16">
        <v>42178</v>
      </c>
      <c r="F11" s="16"/>
      <c r="G11" s="13">
        <v>78.400000000000006</v>
      </c>
      <c r="H11" s="16"/>
      <c r="I11" s="13">
        <v>78.400000000000006</v>
      </c>
      <c r="J11" s="13">
        <f t="shared" si="1"/>
        <v>98</v>
      </c>
      <c r="K11" s="6"/>
    </row>
    <row r="12" spans="1:11" x14ac:dyDescent="0.25">
      <c r="A12" s="3">
        <v>5</v>
      </c>
      <c r="B12" s="14" t="s">
        <v>49</v>
      </c>
      <c r="C12" s="15" t="str">
        <f>"739/2015"</f>
        <v>739/2015</v>
      </c>
      <c r="D12" s="15" t="str">
        <f t="shared" si="0"/>
        <v>HRVATSKI TELEKOM D.D.</v>
      </c>
      <c r="E12" s="16">
        <v>42213</v>
      </c>
      <c r="F12" s="16"/>
      <c r="G12" s="13">
        <v>78.400000000000006</v>
      </c>
      <c r="H12" s="16"/>
      <c r="I12" s="13">
        <v>78.400000000000006</v>
      </c>
      <c r="J12" s="13">
        <f t="shared" si="1"/>
        <v>98</v>
      </c>
      <c r="K12" s="6"/>
    </row>
    <row r="13" spans="1:11" x14ac:dyDescent="0.25">
      <c r="A13" s="3">
        <v>6</v>
      </c>
      <c r="B13" s="14" t="s">
        <v>49</v>
      </c>
      <c r="C13" s="15" t="str">
        <f>"500/2015"</f>
        <v>500/2015</v>
      </c>
      <c r="D13" s="15" t="str">
        <f t="shared" si="0"/>
        <v>HRVATSKI TELEKOM D.D.</v>
      </c>
      <c r="E13" s="16">
        <v>42135</v>
      </c>
      <c r="F13" s="16"/>
      <c r="G13" s="13">
        <v>156.80000000000001</v>
      </c>
      <c r="H13" s="16"/>
      <c r="I13" s="13">
        <v>156.80000000000001</v>
      </c>
      <c r="J13" s="13">
        <f t="shared" si="1"/>
        <v>196</v>
      </c>
      <c r="K13" s="6"/>
    </row>
    <row r="14" spans="1:11" x14ac:dyDescent="0.25">
      <c r="A14" s="3">
        <v>7</v>
      </c>
      <c r="B14" s="14" t="s">
        <v>49</v>
      </c>
      <c r="C14" s="15" t="str">
        <f>"371/2015"</f>
        <v>371/2015</v>
      </c>
      <c r="D14" s="15" t="str">
        <f t="shared" si="0"/>
        <v>HRVATSKI TELEKOM D.D.</v>
      </c>
      <c r="E14" s="16">
        <v>42107</v>
      </c>
      <c r="F14" s="16"/>
      <c r="G14" s="13">
        <v>78.400000000000006</v>
      </c>
      <c r="H14" s="16"/>
      <c r="I14" s="13">
        <v>78.400000000000006</v>
      </c>
      <c r="J14" s="13">
        <f t="shared" si="1"/>
        <v>98</v>
      </c>
      <c r="K14" s="6"/>
    </row>
    <row r="15" spans="1:11" x14ac:dyDescent="0.25">
      <c r="A15" s="3">
        <v>8</v>
      </c>
      <c r="B15" s="14" t="s">
        <v>49</v>
      </c>
      <c r="C15" s="15" t="str">
        <f>"177/2015"</f>
        <v>177/2015</v>
      </c>
      <c r="D15" s="15" t="str">
        <f t="shared" si="0"/>
        <v>HRVATSKI TELEKOM D.D.</v>
      </c>
      <c r="E15" s="16">
        <v>42059</v>
      </c>
      <c r="F15" s="16"/>
      <c r="G15" s="13">
        <v>78.400000000000006</v>
      </c>
      <c r="H15" s="16"/>
      <c r="I15" s="13">
        <v>78.400000000000006</v>
      </c>
      <c r="J15" s="13">
        <f t="shared" si="1"/>
        <v>98</v>
      </c>
      <c r="K15" s="6"/>
    </row>
    <row r="16" spans="1:11" x14ac:dyDescent="0.25">
      <c r="A16" s="3">
        <v>9</v>
      </c>
      <c r="B16" s="14" t="s">
        <v>49</v>
      </c>
      <c r="C16" s="15" t="str">
        <f>"788/2015"</f>
        <v>788/2015</v>
      </c>
      <c r="D16" s="15" t="str">
        <f t="shared" si="0"/>
        <v>HRVATSKI TELEKOM D.D.</v>
      </c>
      <c r="E16" s="16">
        <v>42235</v>
      </c>
      <c r="F16" s="16"/>
      <c r="G16" s="13">
        <v>158.4</v>
      </c>
      <c r="H16" s="16"/>
      <c r="I16" s="13">
        <v>158.4</v>
      </c>
      <c r="J16" s="13">
        <f t="shared" si="1"/>
        <v>198</v>
      </c>
      <c r="K16" s="6"/>
    </row>
    <row r="17" spans="1:11" x14ac:dyDescent="0.25">
      <c r="A17" s="3">
        <v>10</v>
      </c>
      <c r="B17" s="14" t="s">
        <v>49</v>
      </c>
      <c r="C17" s="15" t="str">
        <f>"792/2015"</f>
        <v>792/2015</v>
      </c>
      <c r="D17" s="15" t="str">
        <f t="shared" si="0"/>
        <v>HRVATSKI TELEKOM D.D.</v>
      </c>
      <c r="E17" s="16">
        <v>42236</v>
      </c>
      <c r="F17" s="16"/>
      <c r="G17" s="13">
        <v>1424</v>
      </c>
      <c r="H17" s="16"/>
      <c r="I17" s="13">
        <v>1424</v>
      </c>
      <c r="J17" s="13">
        <f t="shared" si="1"/>
        <v>1780</v>
      </c>
      <c r="K17" s="6"/>
    </row>
    <row r="18" spans="1:11" x14ac:dyDescent="0.25">
      <c r="A18" s="3">
        <v>11</v>
      </c>
      <c r="B18" s="14" t="s">
        <v>49</v>
      </c>
      <c r="C18" s="15" t="str">
        <f>"664/2015"</f>
        <v>664/2015</v>
      </c>
      <c r="D18" s="15" t="str">
        <f t="shared" si="0"/>
        <v>HRVATSKI TELEKOM D.D.</v>
      </c>
      <c r="E18" s="16">
        <v>42178</v>
      </c>
      <c r="F18" s="16"/>
      <c r="G18" s="13">
        <v>3158.4</v>
      </c>
      <c r="H18" s="16"/>
      <c r="I18" s="13">
        <v>3158.4</v>
      </c>
      <c r="J18" s="13">
        <f t="shared" si="1"/>
        <v>3948</v>
      </c>
      <c r="K18" s="6"/>
    </row>
    <row r="19" spans="1:11" x14ac:dyDescent="0.25">
      <c r="A19" s="3">
        <v>12</v>
      </c>
      <c r="B19" s="14" t="s">
        <v>26</v>
      </c>
      <c r="C19" s="15" t="str">
        <f>"BSK-M-111/2015"</f>
        <v>BSK-M-111/2015</v>
      </c>
      <c r="D19" s="15" t="str">
        <f t="shared" si="0"/>
        <v>HRVATSKI TELEKOM D.D.</v>
      </c>
      <c r="E19" s="16">
        <v>42257</v>
      </c>
      <c r="F19" s="16">
        <v>42369</v>
      </c>
      <c r="G19" s="13">
        <v>18324.72</v>
      </c>
      <c r="H19" s="16">
        <v>42369</v>
      </c>
      <c r="I19" s="13">
        <v>18324.72</v>
      </c>
      <c r="J19" s="13">
        <f t="shared" si="1"/>
        <v>22905.9</v>
      </c>
      <c r="K19" s="6"/>
    </row>
    <row r="20" spans="1:11" x14ac:dyDescent="0.25">
      <c r="A20" s="3">
        <v>13</v>
      </c>
      <c r="B20" s="14" t="s">
        <v>29</v>
      </c>
      <c r="C20" s="15" t="str">
        <f>"31.12.2014."</f>
        <v>31.12.2014.</v>
      </c>
      <c r="D20" s="15" t="str">
        <f t="shared" si="0"/>
        <v>HRVATSKI TELEKOM D.D.</v>
      </c>
      <c r="E20" s="16">
        <v>42004</v>
      </c>
      <c r="F20" s="16"/>
      <c r="G20" s="13">
        <v>0</v>
      </c>
      <c r="H20" s="16"/>
      <c r="I20" s="13">
        <v>85495.96</v>
      </c>
      <c r="J20" s="13">
        <f t="shared" si="1"/>
        <v>106869.95000000001</v>
      </c>
      <c r="K20" s="6"/>
    </row>
    <row r="21" spans="1:11" ht="24" x14ac:dyDescent="0.25">
      <c r="A21" s="3">
        <v>14</v>
      </c>
      <c r="B21" s="14" t="s">
        <v>31</v>
      </c>
      <c r="C21" s="15" t="str">
        <f>"U119/14"</f>
        <v>U119/14</v>
      </c>
      <c r="D21" s="15" t="str">
        <f t="shared" si="0"/>
        <v>HRVATSKI TELEKOM D.D.</v>
      </c>
      <c r="E21" s="16">
        <v>42004</v>
      </c>
      <c r="F21" s="16"/>
      <c r="G21" s="13">
        <v>153340.20000000001</v>
      </c>
      <c r="H21" s="16"/>
      <c r="I21" s="13">
        <v>161196.51999999999</v>
      </c>
      <c r="J21" s="13">
        <f t="shared" si="1"/>
        <v>201495.65</v>
      </c>
      <c r="K21" s="6"/>
    </row>
    <row r="22" spans="1:11" ht="24" x14ac:dyDescent="0.25">
      <c r="A22" s="3">
        <v>15</v>
      </c>
      <c r="B22" s="14" t="s">
        <v>91</v>
      </c>
      <c r="C22" s="15" t="str">
        <f>"BSK-M-186/2014 (U27/14)"</f>
        <v>BSK-M-186/2014 (U27/14)</v>
      </c>
      <c r="D22" s="15" t="str">
        <f t="shared" si="0"/>
        <v>HRVATSKI TELEKOM D.D.</v>
      </c>
      <c r="E22" s="16">
        <v>41962</v>
      </c>
      <c r="F22" s="16"/>
      <c r="G22" s="13">
        <v>128000</v>
      </c>
      <c r="H22" s="16"/>
      <c r="I22" s="13">
        <v>76783.520000000004</v>
      </c>
      <c r="J22" s="13">
        <f t="shared" si="1"/>
        <v>95979.400000000009</v>
      </c>
      <c r="K22" s="6"/>
    </row>
    <row r="23" spans="1:11" ht="24" x14ac:dyDescent="0.25">
      <c r="A23" s="3">
        <v>16</v>
      </c>
      <c r="B23" s="14" t="s">
        <v>37</v>
      </c>
      <c r="C23" s="15" t="str">
        <f>"BSK-M-173/2014"</f>
        <v>BSK-M-173/2014</v>
      </c>
      <c r="D23" s="15" t="str">
        <f t="shared" si="0"/>
        <v>HRVATSKI TELEKOM D.D.</v>
      </c>
      <c r="E23" s="16">
        <v>41948</v>
      </c>
      <c r="F23" s="16"/>
      <c r="G23" s="13">
        <v>345248.57</v>
      </c>
      <c r="H23" s="16"/>
      <c r="I23" s="13">
        <v>447640.04</v>
      </c>
      <c r="J23" s="13">
        <f t="shared" si="1"/>
        <v>559550.04999999993</v>
      </c>
      <c r="K23" s="6"/>
    </row>
    <row r="24" spans="1:11" x14ac:dyDescent="0.25">
      <c r="A24" s="3">
        <v>17</v>
      </c>
      <c r="B24" s="14" t="s">
        <v>25</v>
      </c>
      <c r="C24" s="15" t="str">
        <f>"BSK-M-189/2014"</f>
        <v>BSK-M-189/2014</v>
      </c>
      <c r="D24" s="15" t="str">
        <f t="shared" si="0"/>
        <v>HRVATSKI TELEKOM D.D.</v>
      </c>
      <c r="E24" s="16">
        <v>41970</v>
      </c>
      <c r="F24" s="16">
        <v>42234</v>
      </c>
      <c r="G24" s="13">
        <v>200000</v>
      </c>
      <c r="H24" s="16">
        <v>42234</v>
      </c>
      <c r="I24" s="13">
        <v>107675.15</v>
      </c>
      <c r="J24" s="13">
        <f t="shared" si="1"/>
        <v>134593.9375</v>
      </c>
      <c r="K24" s="6"/>
    </row>
    <row r="25" spans="1:11" ht="24" x14ac:dyDescent="0.25">
      <c r="A25" s="3">
        <v>18</v>
      </c>
      <c r="B25" s="14" t="s">
        <v>28</v>
      </c>
      <c r="C25" s="15" t="str">
        <f>"MGPU 7/2013"</f>
        <v>MGPU 7/2013</v>
      </c>
      <c r="D25" s="15" t="str">
        <f t="shared" si="0"/>
        <v>HRVATSKI TELEKOM D.D.</v>
      </c>
      <c r="E25" s="16">
        <v>42040</v>
      </c>
      <c r="F25" s="16">
        <v>42235</v>
      </c>
      <c r="G25" s="13">
        <v>287199.5</v>
      </c>
      <c r="H25" s="16">
        <v>42235</v>
      </c>
      <c r="I25" s="13">
        <v>287199.5</v>
      </c>
      <c r="J25" s="13">
        <f t="shared" si="1"/>
        <v>358999.375</v>
      </c>
      <c r="K25" s="6"/>
    </row>
    <row r="26" spans="1:11" ht="24" x14ac:dyDescent="0.25">
      <c r="A26" s="3">
        <v>19</v>
      </c>
      <c r="B26" s="14" t="s">
        <v>32</v>
      </c>
      <c r="C26" s="15" t="str">
        <f>"920-07/13-13/29"</f>
        <v>920-07/13-13/29</v>
      </c>
      <c r="D26" s="15" t="str">
        <f t="shared" si="0"/>
        <v>HRVATSKI TELEKOM D.D.</v>
      </c>
      <c r="E26" s="16">
        <v>41544</v>
      </c>
      <c r="F26" s="16"/>
      <c r="G26" s="13">
        <v>850000</v>
      </c>
      <c r="H26" s="16"/>
      <c r="I26" s="13">
        <v>62580.38</v>
      </c>
      <c r="J26" s="13">
        <f t="shared" si="1"/>
        <v>78225.474999999991</v>
      </c>
      <c r="K26" s="6"/>
    </row>
    <row r="27" spans="1:11" ht="24" x14ac:dyDescent="0.25">
      <c r="A27" s="3">
        <v>20</v>
      </c>
      <c r="B27" s="14" t="s">
        <v>45</v>
      </c>
      <c r="C27" s="15" t="str">
        <f>"7/2013-U2"</f>
        <v>7/2013-U2</v>
      </c>
      <c r="D27" s="15" t="str">
        <f t="shared" si="0"/>
        <v>HRVATSKI TELEKOM D.D.</v>
      </c>
      <c r="E27" s="16">
        <v>41992</v>
      </c>
      <c r="F27" s="16"/>
      <c r="G27" s="13">
        <v>240000</v>
      </c>
      <c r="H27" s="16"/>
      <c r="I27" s="13">
        <v>135752.38</v>
      </c>
      <c r="J27" s="13">
        <f t="shared" si="1"/>
        <v>169690.47500000001</v>
      </c>
      <c r="K27" s="6"/>
    </row>
    <row r="28" spans="1:11" ht="24" x14ac:dyDescent="0.25">
      <c r="A28" s="3">
        <v>21</v>
      </c>
      <c r="B28" s="14" t="s">
        <v>32</v>
      </c>
      <c r="C28" s="15" t="str">
        <f>"920-07/15-13/11"</f>
        <v>920-07/15-13/11</v>
      </c>
      <c r="D28" s="15" t="str">
        <f t="shared" si="0"/>
        <v>HRVATSKI TELEKOM D.D.</v>
      </c>
      <c r="E28" s="16">
        <v>42046</v>
      </c>
      <c r="F28" s="16"/>
      <c r="G28" s="13">
        <v>880000</v>
      </c>
      <c r="H28" s="16"/>
      <c r="I28" s="13">
        <v>790947.94</v>
      </c>
      <c r="J28" s="13">
        <f t="shared" si="1"/>
        <v>988684.92499999993</v>
      </c>
      <c r="K28" s="6"/>
    </row>
    <row r="29" spans="1:11" x14ac:dyDescent="0.25">
      <c r="A29" s="3">
        <v>22</v>
      </c>
      <c r="B29" s="14" t="s">
        <v>90</v>
      </c>
      <c r="C29" s="15" t="str">
        <f>"BSK-M-197/2014"</f>
        <v>BSK-M-197/2014</v>
      </c>
      <c r="D29" s="15" t="str">
        <f t="shared" si="0"/>
        <v>HRVATSKI TELEKOM D.D.</v>
      </c>
      <c r="E29" s="16">
        <v>42002</v>
      </c>
      <c r="F29" s="16">
        <v>42357</v>
      </c>
      <c r="G29" s="13">
        <v>294862.28999999998</v>
      </c>
      <c r="H29" s="16">
        <v>42357</v>
      </c>
      <c r="I29" s="13">
        <v>294862.28999999998</v>
      </c>
      <c r="J29" s="13">
        <f t="shared" si="1"/>
        <v>368577.86249999999</v>
      </c>
      <c r="K29" s="6"/>
    </row>
    <row r="30" spans="1:11" ht="24" x14ac:dyDescent="0.25">
      <c r="A30" s="3">
        <v>23</v>
      </c>
      <c r="B30" s="14" t="s">
        <v>39</v>
      </c>
      <c r="C30" s="15" t="str">
        <f>"12/14"</f>
        <v>12/14</v>
      </c>
      <c r="D30" s="15" t="str">
        <f t="shared" si="0"/>
        <v>HRVATSKI TELEKOM D.D.</v>
      </c>
      <c r="E30" s="16">
        <v>41715</v>
      </c>
      <c r="F30" s="16"/>
      <c r="G30" s="13">
        <v>1055454.28</v>
      </c>
      <c r="H30" s="16"/>
      <c r="I30" s="13">
        <v>709656.61</v>
      </c>
      <c r="J30" s="13">
        <f t="shared" si="1"/>
        <v>887070.76249999995</v>
      </c>
      <c r="K30" s="6"/>
    </row>
    <row r="31" spans="1:11" ht="24" x14ac:dyDescent="0.25">
      <c r="A31" s="3">
        <v>24</v>
      </c>
      <c r="B31" s="14" t="s">
        <v>42</v>
      </c>
      <c r="C31" s="15" t="str">
        <f>"SNUG-204-14-0084"</f>
        <v>SNUG-204-14-0084</v>
      </c>
      <c r="D31" s="15" t="str">
        <f t="shared" si="0"/>
        <v>HRVATSKI TELEKOM D.D.</v>
      </c>
      <c r="E31" s="16">
        <v>41982</v>
      </c>
      <c r="F31" s="16"/>
      <c r="G31" s="13">
        <v>596124.78</v>
      </c>
      <c r="H31" s="16"/>
      <c r="I31" s="13">
        <v>605108.54</v>
      </c>
      <c r="J31" s="13">
        <f t="shared" si="1"/>
        <v>756385.67500000005</v>
      </c>
      <c r="K31" s="6"/>
    </row>
    <row r="32" spans="1:11" x14ac:dyDescent="0.25">
      <c r="A32" s="3">
        <v>25</v>
      </c>
      <c r="B32" s="14" t="s">
        <v>49</v>
      </c>
      <c r="C32" s="15" t="str">
        <f>"719/2015"</f>
        <v>719/2015</v>
      </c>
      <c r="D32" s="15" t="str">
        <f t="shared" si="0"/>
        <v>HRVATSKI TELEKOM D.D.</v>
      </c>
      <c r="E32" s="16">
        <v>42202</v>
      </c>
      <c r="F32" s="16"/>
      <c r="G32" s="13">
        <v>0.8</v>
      </c>
      <c r="H32" s="16"/>
      <c r="I32" s="13">
        <v>4</v>
      </c>
      <c r="J32" s="13">
        <f t="shared" si="1"/>
        <v>5</v>
      </c>
      <c r="K32" s="6"/>
    </row>
    <row r="33" spans="1:11" x14ac:dyDescent="0.25">
      <c r="A33" s="3">
        <v>26</v>
      </c>
      <c r="B33" s="14" t="s">
        <v>26</v>
      </c>
      <c r="C33" s="15" t="str">
        <f>"BSK-M-192/2014"</f>
        <v>BSK-M-192/2014</v>
      </c>
      <c r="D33" s="15" t="str">
        <f t="shared" si="0"/>
        <v>HRVATSKI TELEKOM D.D.</v>
      </c>
      <c r="E33" s="16">
        <v>41989</v>
      </c>
      <c r="F33" s="16">
        <v>42235</v>
      </c>
      <c r="G33" s="13">
        <v>60000</v>
      </c>
      <c r="H33" s="16">
        <v>42235</v>
      </c>
      <c r="I33" s="13">
        <v>33962.36</v>
      </c>
      <c r="J33" s="13">
        <f t="shared" si="1"/>
        <v>42452.95</v>
      </c>
      <c r="K33" s="6"/>
    </row>
    <row r="34" spans="1:11" ht="36" x14ac:dyDescent="0.25">
      <c r="A34" s="3">
        <v>27</v>
      </c>
      <c r="B34" s="14" t="s">
        <v>59</v>
      </c>
      <c r="C34" s="15" t="str">
        <f>"02-C-SI-0301/13-21"</f>
        <v>02-C-SI-0301/13-21</v>
      </c>
      <c r="D34" s="15" t="str">
        <f t="shared" si="0"/>
        <v>HRVATSKI TELEKOM D.D.</v>
      </c>
      <c r="E34" s="16">
        <v>42292</v>
      </c>
      <c r="F34" s="16">
        <v>42007</v>
      </c>
      <c r="G34" s="13">
        <v>0</v>
      </c>
      <c r="H34" s="16">
        <v>42007</v>
      </c>
      <c r="I34" s="13">
        <v>7846.62</v>
      </c>
      <c r="J34" s="13">
        <f t="shared" si="1"/>
        <v>9808.2749999999996</v>
      </c>
      <c r="K34" s="6"/>
    </row>
    <row r="35" spans="1:11" ht="24" x14ac:dyDescent="0.25">
      <c r="A35" s="3">
        <v>28</v>
      </c>
      <c r="B35" s="14" t="s">
        <v>43</v>
      </c>
      <c r="C35" s="15" t="str">
        <f>"BSK-M20/2015"</f>
        <v>BSK-M20/2015</v>
      </c>
      <c r="D35" s="15" t="str">
        <f t="shared" si="0"/>
        <v>HRVATSKI TELEKOM D.D.</v>
      </c>
      <c r="E35" s="16">
        <v>41610</v>
      </c>
      <c r="F35" s="16">
        <v>42235</v>
      </c>
      <c r="G35" s="13">
        <v>132000</v>
      </c>
      <c r="H35" s="16">
        <v>42235</v>
      </c>
      <c r="I35" s="13">
        <v>127980.84</v>
      </c>
      <c r="J35" s="13">
        <f t="shared" si="1"/>
        <v>159976.04999999999</v>
      </c>
      <c r="K35" s="6"/>
    </row>
    <row r="36" spans="1:11" ht="24" x14ac:dyDescent="0.25">
      <c r="A36" s="3">
        <v>29</v>
      </c>
      <c r="B36" s="14" t="s">
        <v>62</v>
      </c>
      <c r="C36" s="15" t="str">
        <f>"030-01/14-04/12"</f>
        <v>030-01/14-04/12</v>
      </c>
      <c r="D36" s="15" t="str">
        <f t="shared" si="0"/>
        <v>HRVATSKI TELEKOM D.D.</v>
      </c>
      <c r="E36" s="16">
        <v>42426</v>
      </c>
      <c r="F36" s="16">
        <v>42235</v>
      </c>
      <c r="G36" s="13">
        <v>116000</v>
      </c>
      <c r="H36" s="16">
        <v>42235</v>
      </c>
      <c r="I36" s="13">
        <v>118260.74</v>
      </c>
      <c r="J36" s="13">
        <f t="shared" si="1"/>
        <v>147825.92500000002</v>
      </c>
      <c r="K36" s="6"/>
    </row>
    <row r="37" spans="1:11" ht="24" x14ac:dyDescent="0.25">
      <c r="A37" s="3">
        <v>30</v>
      </c>
      <c r="B37" s="14" t="s">
        <v>43</v>
      </c>
      <c r="C37" s="15" t="str">
        <f>"BSK-M-161/2013"</f>
        <v>BSK-M-161/2013</v>
      </c>
      <c r="D37" s="15" t="str">
        <f t="shared" si="0"/>
        <v>HRVATSKI TELEKOM D.D.</v>
      </c>
      <c r="E37" s="16">
        <v>41928</v>
      </c>
      <c r="F37" s="16">
        <v>42042</v>
      </c>
      <c r="G37" s="13">
        <v>195000</v>
      </c>
      <c r="H37" s="16">
        <v>42042</v>
      </c>
      <c r="I37" s="13">
        <v>198578.38</v>
      </c>
      <c r="J37" s="13">
        <f t="shared" si="1"/>
        <v>248222.97500000001</v>
      </c>
      <c r="K37" s="6"/>
    </row>
    <row r="38" spans="1:11" ht="24" x14ac:dyDescent="0.25">
      <c r="A38" s="3">
        <v>31</v>
      </c>
      <c r="B38" s="14" t="s">
        <v>61</v>
      </c>
      <c r="C38" s="15" t="str">
        <f>"7-2013"</f>
        <v>7-2013</v>
      </c>
      <c r="D38" s="15" t="str">
        <f t="shared" si="0"/>
        <v>HRVATSKI TELEKOM D.D.</v>
      </c>
      <c r="E38" s="16">
        <v>41815</v>
      </c>
      <c r="F38" s="16">
        <v>42235</v>
      </c>
      <c r="G38" s="13">
        <v>58414.63</v>
      </c>
      <c r="H38" s="16">
        <v>42235</v>
      </c>
      <c r="I38" s="13">
        <v>58414.63</v>
      </c>
      <c r="J38" s="13">
        <f t="shared" si="1"/>
        <v>73018.287499999991</v>
      </c>
      <c r="K38" s="6"/>
    </row>
    <row r="39" spans="1:11" x14ac:dyDescent="0.25">
      <c r="A39" s="3">
        <v>32</v>
      </c>
      <c r="B39" s="14" t="s">
        <v>51</v>
      </c>
      <c r="C39" s="15" t="str">
        <f>"BSK-M-171/2015"</f>
        <v>BSK-M-171/2015</v>
      </c>
      <c r="D39" s="15" t="str">
        <f t="shared" si="0"/>
        <v>HRVATSKI TELEKOM D.D.</v>
      </c>
      <c r="E39" s="16">
        <v>41887</v>
      </c>
      <c r="F39" s="16">
        <v>42236</v>
      </c>
      <c r="G39" s="13">
        <v>771081.28</v>
      </c>
      <c r="H39" s="16">
        <v>42236</v>
      </c>
      <c r="I39" s="13">
        <v>771081.28</v>
      </c>
      <c r="J39" s="13">
        <f t="shared" si="1"/>
        <v>963851.60000000009</v>
      </c>
      <c r="K39" s="6"/>
    </row>
    <row r="40" spans="1:11" x14ac:dyDescent="0.25">
      <c r="A40" s="3">
        <v>33</v>
      </c>
      <c r="B40" s="14" t="s">
        <v>53</v>
      </c>
      <c r="C40" s="15" t="str">
        <f>"7/2013-MB"</f>
        <v>7/2013-MB</v>
      </c>
      <c r="D40" s="15" t="str">
        <f t="shared" si="0"/>
        <v>HRVATSKI TELEKOM D.D.</v>
      </c>
      <c r="E40" s="16">
        <v>41870</v>
      </c>
      <c r="F40" s="16">
        <v>42235</v>
      </c>
      <c r="G40" s="13">
        <v>0</v>
      </c>
      <c r="H40" s="16">
        <v>42235</v>
      </c>
      <c r="I40" s="13">
        <v>97518.58</v>
      </c>
      <c r="J40" s="13">
        <f t="shared" si="1"/>
        <v>121898.22500000001</v>
      </c>
      <c r="K40" s="6"/>
    </row>
    <row r="41" spans="1:11" ht="24" x14ac:dyDescent="0.25">
      <c r="A41" s="3">
        <v>34</v>
      </c>
      <c r="B41" s="14" t="s">
        <v>55</v>
      </c>
      <c r="C41" s="15" t="str">
        <f>"25-57-14-1"</f>
        <v>25-57-14-1</v>
      </c>
      <c r="D41" s="15" t="str">
        <f t="shared" si="0"/>
        <v>HRVATSKI TELEKOM D.D.</v>
      </c>
      <c r="E41" s="16">
        <v>41708</v>
      </c>
      <c r="F41" s="16">
        <v>42235</v>
      </c>
      <c r="G41" s="13">
        <v>1000000</v>
      </c>
      <c r="H41" s="16">
        <v>42235</v>
      </c>
      <c r="I41" s="13">
        <v>302212.90000000002</v>
      </c>
      <c r="J41" s="13">
        <f t="shared" si="1"/>
        <v>377766.125</v>
      </c>
      <c r="K41" s="6"/>
    </row>
    <row r="42" spans="1:11" ht="24" x14ac:dyDescent="0.25">
      <c r="A42" s="3">
        <v>35</v>
      </c>
      <c r="B42" s="14" t="s">
        <v>48</v>
      </c>
      <c r="C42" s="15" t="str">
        <f>"UJN-BSS1-147/2013"</f>
        <v>UJN-BSS1-147/2013</v>
      </c>
      <c r="D42" s="15" t="str">
        <f t="shared" si="0"/>
        <v>HRVATSKI TELEKOM D.D.</v>
      </c>
      <c r="E42" s="16">
        <v>41641</v>
      </c>
      <c r="F42" s="16">
        <v>42235</v>
      </c>
      <c r="G42" s="13">
        <v>0</v>
      </c>
      <c r="H42" s="16">
        <v>42235</v>
      </c>
      <c r="I42" s="13">
        <v>7266.53</v>
      </c>
      <c r="J42" s="13">
        <f t="shared" si="1"/>
        <v>9083.1625000000004</v>
      </c>
      <c r="K42" s="6"/>
    </row>
    <row r="43" spans="1:11" ht="24" x14ac:dyDescent="0.25">
      <c r="A43" s="3">
        <v>36</v>
      </c>
      <c r="B43" s="14" t="s">
        <v>128</v>
      </c>
      <c r="C43" s="15" t="str">
        <f>"62/2014"</f>
        <v>62/2014</v>
      </c>
      <c r="D43" s="15" t="str">
        <f t="shared" si="0"/>
        <v>HRVATSKI TELEKOM D.D.</v>
      </c>
      <c r="E43" s="16">
        <v>41641</v>
      </c>
      <c r="F43" s="16">
        <v>42199</v>
      </c>
      <c r="G43" s="13">
        <v>66863.48</v>
      </c>
      <c r="H43" s="16">
        <v>42199</v>
      </c>
      <c r="I43" s="13">
        <v>62953.13</v>
      </c>
      <c r="J43" s="13">
        <f t="shared" si="1"/>
        <v>78691.412499999991</v>
      </c>
      <c r="K43" s="6"/>
    </row>
    <row r="44" spans="1:11" ht="36" x14ac:dyDescent="0.25">
      <c r="A44" s="3">
        <v>37</v>
      </c>
      <c r="B44" s="14" t="s">
        <v>129</v>
      </c>
      <c r="C44" s="15" t="str">
        <f>"UJN-BSS1-01/2014"</f>
        <v>UJN-BSS1-01/2014</v>
      </c>
      <c r="D44" s="15" t="str">
        <f t="shared" si="0"/>
        <v>HRVATSKI TELEKOM D.D.</v>
      </c>
      <c r="E44" s="16">
        <v>41641</v>
      </c>
      <c r="F44" s="16">
        <v>42012</v>
      </c>
      <c r="G44" s="13">
        <v>0</v>
      </c>
      <c r="H44" s="16">
        <v>42012</v>
      </c>
      <c r="I44" s="13">
        <v>8424.17</v>
      </c>
      <c r="J44" s="13">
        <f t="shared" si="1"/>
        <v>10530.2125</v>
      </c>
      <c r="K44" s="6"/>
    </row>
    <row r="45" spans="1:11" x14ac:dyDescent="0.25">
      <c r="A45" s="3">
        <v>38</v>
      </c>
      <c r="B45" s="14" t="s">
        <v>41</v>
      </c>
      <c r="C45" s="15" t="str">
        <f>"BSK-M-22/2015"</f>
        <v>BSK-M-22/2015</v>
      </c>
      <c r="D45" s="15" t="str">
        <f t="shared" si="0"/>
        <v>HRVATSKI TELEKOM D.D.</v>
      </c>
      <c r="E45" s="16">
        <v>41610</v>
      </c>
      <c r="F45" s="16">
        <v>42235</v>
      </c>
      <c r="G45" s="13">
        <v>100000</v>
      </c>
      <c r="H45" s="16">
        <v>42235</v>
      </c>
      <c r="I45" s="13">
        <v>159087.14000000001</v>
      </c>
      <c r="J45" s="13">
        <f t="shared" si="1"/>
        <v>198858.92500000002</v>
      </c>
      <c r="K45" s="6"/>
    </row>
    <row r="46" spans="1:11" ht="36" x14ac:dyDescent="0.25">
      <c r="A46" s="3">
        <v>39</v>
      </c>
      <c r="B46" s="14" t="s">
        <v>130</v>
      </c>
      <c r="C46" s="15" t="str">
        <f>"BSK-M-201/2014"</f>
        <v>BSK-M-201/2014</v>
      </c>
      <c r="D46" s="15" t="str">
        <f t="shared" si="0"/>
        <v>HRVATSKI TELEKOM D.D.</v>
      </c>
      <c r="E46" s="16">
        <v>41610</v>
      </c>
      <c r="F46" s="16">
        <v>42235</v>
      </c>
      <c r="G46" s="13">
        <v>4300</v>
      </c>
      <c r="H46" s="16">
        <v>42235</v>
      </c>
      <c r="I46" s="13">
        <v>6056</v>
      </c>
      <c r="J46" s="13">
        <f t="shared" si="1"/>
        <v>7570</v>
      </c>
      <c r="K46" s="6"/>
    </row>
    <row r="47" spans="1:11" ht="36" x14ac:dyDescent="0.25">
      <c r="A47" s="3">
        <v>40</v>
      </c>
      <c r="B47" s="14" t="s">
        <v>129</v>
      </c>
      <c r="C47" s="15" t="str">
        <f>"UJN-BSS5-18/2015"</f>
        <v>UJN-BSS5-18/2015</v>
      </c>
      <c r="D47" s="15" t="str">
        <f t="shared" si="0"/>
        <v>HRVATSKI TELEKOM D.D.</v>
      </c>
      <c r="E47" s="16">
        <v>41610</v>
      </c>
      <c r="F47" s="16">
        <v>42235</v>
      </c>
      <c r="G47" s="13">
        <v>0</v>
      </c>
      <c r="H47" s="16">
        <v>42235</v>
      </c>
      <c r="I47" s="13">
        <v>3955.66</v>
      </c>
      <c r="J47" s="13">
        <f t="shared" si="1"/>
        <v>4944.5749999999998</v>
      </c>
      <c r="K47" s="6"/>
    </row>
    <row r="48" spans="1:11" ht="24" x14ac:dyDescent="0.25">
      <c r="A48" s="3">
        <v>41</v>
      </c>
      <c r="B48" s="14" t="s">
        <v>39</v>
      </c>
      <c r="C48" s="15" t="str">
        <f>"BSK-M-25/2015"</f>
        <v>BSK-M-25/2015</v>
      </c>
      <c r="D48" s="15" t="str">
        <f t="shared" si="0"/>
        <v>HRVATSKI TELEKOM D.D.</v>
      </c>
      <c r="E48" s="16">
        <v>41610</v>
      </c>
      <c r="F48" s="16">
        <v>42235</v>
      </c>
      <c r="G48" s="13">
        <v>664000</v>
      </c>
      <c r="H48" s="16">
        <v>42235</v>
      </c>
      <c r="I48" s="13">
        <v>322426.94</v>
      </c>
      <c r="J48" s="13">
        <f t="shared" si="1"/>
        <v>403033.67499999999</v>
      </c>
      <c r="K48" s="6"/>
    </row>
    <row r="49" spans="1:11" ht="24" x14ac:dyDescent="0.25">
      <c r="A49" s="3">
        <v>42</v>
      </c>
      <c r="B49" s="14" t="s">
        <v>131</v>
      </c>
      <c r="C49" s="15" t="str">
        <f>"UJN-BSS-24/2015"</f>
        <v>UJN-BSS-24/2015</v>
      </c>
      <c r="D49" s="15" t="str">
        <f t="shared" si="0"/>
        <v>HRVATSKI TELEKOM D.D.</v>
      </c>
      <c r="E49" s="16">
        <v>41610</v>
      </c>
      <c r="F49" s="16">
        <v>42235</v>
      </c>
      <c r="G49" s="13">
        <v>0</v>
      </c>
      <c r="H49" s="16">
        <v>42235</v>
      </c>
      <c r="I49" s="13">
        <v>3422.24</v>
      </c>
      <c r="J49" s="13">
        <f t="shared" si="1"/>
        <v>4277.7999999999993</v>
      </c>
      <c r="K49" s="6"/>
    </row>
    <row r="50" spans="1:11" ht="24" x14ac:dyDescent="0.25">
      <c r="A50" s="3">
        <v>43</v>
      </c>
      <c r="B50" s="14" t="s">
        <v>30</v>
      </c>
      <c r="C50" s="15" t="str">
        <f>"510/7-C-U-0009/15-90"</f>
        <v>510/7-C-U-0009/15-90</v>
      </c>
      <c r="D50" s="15" t="str">
        <f t="shared" si="0"/>
        <v>HRVATSKI TELEKOM D.D.</v>
      </c>
      <c r="E50" s="16">
        <v>41610</v>
      </c>
      <c r="F50" s="16">
        <v>42235</v>
      </c>
      <c r="G50" s="13">
        <v>0</v>
      </c>
      <c r="H50" s="16">
        <v>42235</v>
      </c>
      <c r="I50" s="13">
        <v>30829</v>
      </c>
      <c r="J50" s="13">
        <f t="shared" si="1"/>
        <v>38536.25</v>
      </c>
      <c r="K50" s="6"/>
    </row>
    <row r="51" spans="1:11" ht="24" x14ac:dyDescent="0.25">
      <c r="A51" s="3">
        <v>44</v>
      </c>
      <c r="B51" s="14" t="s">
        <v>27</v>
      </c>
      <c r="C51" s="15" t="str">
        <f>"BSK-M-10/2015"</f>
        <v>BSK-M-10/2015</v>
      </c>
      <c r="D51" s="15" t="str">
        <f t="shared" si="0"/>
        <v>HRVATSKI TELEKOM D.D.</v>
      </c>
      <c r="E51" s="16">
        <v>41610</v>
      </c>
      <c r="F51" s="16">
        <v>42235</v>
      </c>
      <c r="G51" s="13">
        <v>2765333.33</v>
      </c>
      <c r="H51" s="16">
        <v>42235</v>
      </c>
      <c r="I51" s="13">
        <v>2515212.31</v>
      </c>
      <c r="J51" s="13">
        <f t="shared" si="1"/>
        <v>3144015.3875000002</v>
      </c>
      <c r="K51" s="6"/>
    </row>
    <row r="52" spans="1:11" ht="24" x14ac:dyDescent="0.25">
      <c r="A52" s="3">
        <v>45</v>
      </c>
      <c r="B52" s="14" t="s">
        <v>131</v>
      </c>
      <c r="C52" s="15" t="str">
        <f>"UJN-BSS1-02/2014"</f>
        <v>UJN-BSS1-02/2014</v>
      </c>
      <c r="D52" s="15" t="str">
        <f t="shared" si="0"/>
        <v>HRVATSKI TELEKOM D.D.</v>
      </c>
      <c r="E52" s="16">
        <v>41606</v>
      </c>
      <c r="F52" s="16">
        <v>42018</v>
      </c>
      <c r="G52" s="13">
        <v>0</v>
      </c>
      <c r="H52" s="16">
        <v>42018</v>
      </c>
      <c r="I52" s="13">
        <v>1391.9</v>
      </c>
      <c r="J52" s="13">
        <f t="shared" si="1"/>
        <v>1739.875</v>
      </c>
      <c r="K52" s="6"/>
    </row>
    <row r="53" spans="1:11" ht="36" x14ac:dyDescent="0.25">
      <c r="A53" s="3">
        <v>46</v>
      </c>
      <c r="B53" s="14" t="s">
        <v>59</v>
      </c>
      <c r="C53" s="15" t="str">
        <f>"06-C-SI0003/15-21"</f>
        <v>06-C-SI0003/15-21</v>
      </c>
      <c r="D53" s="15" t="str">
        <f t="shared" si="0"/>
        <v>HRVATSKI TELEKOM D.D.</v>
      </c>
      <c r="E53" s="16">
        <v>41604</v>
      </c>
      <c r="F53" s="16">
        <v>42235</v>
      </c>
      <c r="G53" s="13">
        <v>0</v>
      </c>
      <c r="H53" s="16">
        <v>42235</v>
      </c>
      <c r="I53" s="13">
        <v>76285.98</v>
      </c>
      <c r="J53" s="13">
        <f t="shared" si="1"/>
        <v>95357.474999999991</v>
      </c>
      <c r="K53" s="6"/>
    </row>
    <row r="54" spans="1:11" ht="24" x14ac:dyDescent="0.25">
      <c r="A54" s="3">
        <v>47</v>
      </c>
      <c r="B54" s="14" t="s">
        <v>58</v>
      </c>
      <c r="C54" s="15" t="str">
        <f>"BSK-M-129/2013"</f>
        <v>BSK-M-129/2013</v>
      </c>
      <c r="D54" s="15" t="str">
        <f t="shared" si="0"/>
        <v>HRVATSKI TELEKOM D.D.</v>
      </c>
      <c r="E54" s="16">
        <v>42479</v>
      </c>
      <c r="F54" s="16">
        <v>42235</v>
      </c>
      <c r="G54" s="13">
        <v>176000</v>
      </c>
      <c r="H54" s="16">
        <v>42235</v>
      </c>
      <c r="I54" s="13">
        <v>56480.06</v>
      </c>
      <c r="J54" s="13">
        <f t="shared" si="1"/>
        <v>70600.074999999997</v>
      </c>
      <c r="K54" s="6"/>
    </row>
    <row r="55" spans="1:11" x14ac:dyDescent="0.25">
      <c r="A55" s="3">
        <v>48</v>
      </c>
      <c r="B55" s="14" t="s">
        <v>54</v>
      </c>
      <c r="C55" s="15" t="str">
        <f>"BSK-M-105/2013"</f>
        <v>BSK-M-105/2013</v>
      </c>
      <c r="D55" s="15" t="str">
        <f t="shared" si="0"/>
        <v>HRVATSKI TELEKOM D.D.</v>
      </c>
      <c r="E55" s="16">
        <v>41536</v>
      </c>
      <c r="F55" s="16">
        <v>42247</v>
      </c>
      <c r="G55" s="13">
        <v>0</v>
      </c>
      <c r="H55" s="16">
        <v>42247</v>
      </c>
      <c r="I55" s="13">
        <v>85562.13</v>
      </c>
      <c r="J55" s="13">
        <f t="shared" si="1"/>
        <v>106952.66250000001</v>
      </c>
      <c r="K55" s="6"/>
    </row>
    <row r="56" spans="1:11" x14ac:dyDescent="0.25">
      <c r="A56" s="3">
        <v>49</v>
      </c>
      <c r="B56" s="14" t="s">
        <v>41</v>
      </c>
      <c r="C56" s="15" t="str">
        <f>"BSK-M-136/2013"</f>
        <v>BSK-M-136/2013</v>
      </c>
      <c r="D56" s="15" t="str">
        <f t="shared" si="0"/>
        <v>HRVATSKI TELEKOM D.D.</v>
      </c>
      <c r="E56" s="16">
        <v>41478</v>
      </c>
      <c r="F56" s="16">
        <v>42055</v>
      </c>
      <c r="G56" s="13">
        <v>200000</v>
      </c>
      <c r="H56" s="16">
        <v>42055</v>
      </c>
      <c r="I56" s="13">
        <v>210065.4</v>
      </c>
      <c r="J56" s="13">
        <f t="shared" si="1"/>
        <v>262581.75</v>
      </c>
      <c r="K56" s="6"/>
    </row>
  </sheetData>
  <sheetProtection algorithmName="SHA-512" hashValue="z2hIIAC23v8P2Dej1abYhO90780WMSc9sGmpnVtGPt1D2nj5vlRALPSia7Rk7jdNdOMKibjzTSqk4/YplmeUBQ==" saltValue="fSWV/sXsu1buU8mYDO0mIA==" spinCount="100000" sheet="1" objects="1" scenarios="1"/>
  <mergeCells count="3">
    <mergeCell ref="A1:I1"/>
    <mergeCell ref="A4:H4"/>
    <mergeCell ref="A6:K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C30" twoDigitTextYea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99"/>
  <sheetViews>
    <sheetView view="pageLayout" zoomScaleNormal="100" workbookViewId="0">
      <selection activeCell="J3" sqref="J3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  <col min="15" max="15" width="10.140625" bestFit="1" customWidth="1"/>
  </cols>
  <sheetData>
    <row r="1" spans="1:11" x14ac:dyDescent="0.25">
      <c r="A1" s="45" t="s">
        <v>648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36" x14ac:dyDescent="0.25">
      <c r="A3" s="3">
        <v>1</v>
      </c>
      <c r="B3" s="19" t="s">
        <v>666</v>
      </c>
      <c r="C3" s="20" t="s">
        <v>649</v>
      </c>
      <c r="D3" s="3" t="s">
        <v>703</v>
      </c>
      <c r="E3" s="3" t="s">
        <v>24</v>
      </c>
      <c r="F3" s="21">
        <v>41408</v>
      </c>
      <c r="G3" s="3" t="s">
        <v>667</v>
      </c>
      <c r="H3" s="33">
        <v>13600000</v>
      </c>
      <c r="I3" s="34">
        <v>11171091.65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2565159.1800000002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42</v>
      </c>
      <c r="C8" s="15" t="str">
        <f>"MORH-8/2012-A-116KOM"</f>
        <v>MORH-8/2012-A-116KOM</v>
      </c>
      <c r="D8" s="15" t="str">
        <f>CONCATENATE("OTP LEASING D.D.")</f>
        <v>OTP LEASING D.D.</v>
      </c>
      <c r="E8" s="16">
        <v>41522</v>
      </c>
      <c r="F8" s="16">
        <v>42983</v>
      </c>
      <c r="G8" s="13">
        <v>11023750.67</v>
      </c>
      <c r="H8" s="16">
        <v>42983</v>
      </c>
      <c r="I8" s="13">
        <v>2565159.1800000002</v>
      </c>
      <c r="J8" s="13">
        <f>I8*1.25</f>
        <v>3206448.9750000001</v>
      </c>
      <c r="K8" s="6"/>
    </row>
    <row r="9" spans="1:11" ht="7.5" customHeight="1" x14ac:dyDescent="0.25"/>
    <row r="10" spans="1:11" ht="42" customHeight="1" x14ac:dyDescent="0.25">
      <c r="A10" s="1" t="s">
        <v>0</v>
      </c>
      <c r="B10" s="2" t="s">
        <v>1</v>
      </c>
      <c r="C10" s="2" t="s">
        <v>6</v>
      </c>
      <c r="D10" s="2" t="s">
        <v>2</v>
      </c>
      <c r="E10" s="2" t="s">
        <v>3</v>
      </c>
      <c r="F10" s="2" t="s">
        <v>7</v>
      </c>
      <c r="G10" s="2" t="s">
        <v>8</v>
      </c>
      <c r="H10" s="2" t="s">
        <v>4</v>
      </c>
      <c r="I10" s="2" t="s">
        <v>5</v>
      </c>
    </row>
    <row r="11" spans="1:11" ht="36" x14ac:dyDescent="0.25">
      <c r="A11" s="3">
        <v>1</v>
      </c>
      <c r="B11" s="19" t="s">
        <v>666</v>
      </c>
      <c r="C11" s="20" t="s">
        <v>650</v>
      </c>
      <c r="D11" s="3" t="s">
        <v>704</v>
      </c>
      <c r="E11" s="3" t="s">
        <v>24</v>
      </c>
      <c r="F11" s="21">
        <v>41408</v>
      </c>
      <c r="G11" s="3" t="s">
        <v>667</v>
      </c>
      <c r="H11" s="33">
        <v>24960000</v>
      </c>
      <c r="I11" s="33">
        <v>20351041.059999999</v>
      </c>
    </row>
    <row r="12" spans="1:11" x14ac:dyDescent="0.25">
      <c r="A12" s="42" t="s">
        <v>706</v>
      </c>
      <c r="B12" s="43"/>
      <c r="C12" s="43"/>
      <c r="D12" s="43"/>
      <c r="E12" s="43"/>
      <c r="F12" s="43"/>
      <c r="G12" s="43"/>
      <c r="H12" s="44"/>
      <c r="I12" s="13">
        <v>4322159.57</v>
      </c>
    </row>
    <row r="13" spans="1:11" ht="7.5" customHeight="1" x14ac:dyDescent="0.25"/>
    <row r="14" spans="1:11" x14ac:dyDescent="0.25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63.75" customHeight="1" x14ac:dyDescent="0.25">
      <c r="A15" s="4" t="s">
        <v>0</v>
      </c>
      <c r="B15" s="5" t="s">
        <v>10</v>
      </c>
      <c r="C15" s="5" t="s">
        <v>9</v>
      </c>
      <c r="D15" s="5" t="s">
        <v>13</v>
      </c>
      <c r="E15" s="5" t="s">
        <v>12</v>
      </c>
      <c r="F15" s="5" t="s">
        <v>11</v>
      </c>
      <c r="G15" s="5" t="s">
        <v>18</v>
      </c>
      <c r="H15" s="5" t="s">
        <v>14</v>
      </c>
      <c r="I15" s="5" t="s">
        <v>15</v>
      </c>
      <c r="J15" s="5" t="s">
        <v>16</v>
      </c>
      <c r="K15" s="5" t="s">
        <v>17</v>
      </c>
    </row>
    <row r="16" spans="1:11" ht="24" x14ac:dyDescent="0.25">
      <c r="A16" s="3">
        <v>1</v>
      </c>
      <c r="B16" s="14" t="s">
        <v>27</v>
      </c>
      <c r="C16" s="15" t="str">
        <f>"MUP-9/2013-1-2-3-64KOM"</f>
        <v>MUP-9/2013-1-2-3-64KOM</v>
      </c>
      <c r="D16" s="15" t="str">
        <f>CONCATENATE("HYPO ALPE-ADRIA-LEASING D.O.O.")</f>
        <v>HYPO ALPE-ADRIA-LEASING D.O.O.</v>
      </c>
      <c r="E16" s="16">
        <v>41437</v>
      </c>
      <c r="F16" s="16">
        <v>43263</v>
      </c>
      <c r="G16" s="13">
        <v>22984895.699999999</v>
      </c>
      <c r="H16" s="16">
        <v>43263</v>
      </c>
      <c r="I16" s="13">
        <v>4322159.57</v>
      </c>
      <c r="J16" s="13">
        <f>I16*1.25</f>
        <v>5402699.4625000004</v>
      </c>
      <c r="K16" s="6"/>
    </row>
    <row r="17" spans="1:11" ht="7.5" customHeight="1" x14ac:dyDescent="0.25"/>
    <row r="18" spans="1:11" ht="42" customHeight="1" x14ac:dyDescent="0.25">
      <c r="A18" s="1" t="s">
        <v>0</v>
      </c>
      <c r="B18" s="2" t="s">
        <v>1</v>
      </c>
      <c r="C18" s="2" t="s">
        <v>6</v>
      </c>
      <c r="D18" s="2" t="s">
        <v>2</v>
      </c>
      <c r="E18" s="2" t="s">
        <v>3</v>
      </c>
      <c r="F18" s="2" t="s">
        <v>7</v>
      </c>
      <c r="G18" s="2" t="s">
        <v>8</v>
      </c>
      <c r="H18" s="2" t="s">
        <v>4</v>
      </c>
      <c r="I18" s="2" t="s">
        <v>5</v>
      </c>
    </row>
    <row r="19" spans="1:11" ht="36" x14ac:dyDescent="0.25">
      <c r="A19" s="3">
        <v>1</v>
      </c>
      <c r="B19" s="19" t="s">
        <v>666</v>
      </c>
      <c r="C19" s="20" t="s">
        <v>651</v>
      </c>
      <c r="D19" s="3" t="s">
        <v>697</v>
      </c>
      <c r="E19" s="3" t="s">
        <v>24</v>
      </c>
      <c r="F19" s="21">
        <v>41806</v>
      </c>
      <c r="G19" s="3" t="s">
        <v>667</v>
      </c>
      <c r="H19" s="33">
        <v>2200000</v>
      </c>
      <c r="I19" s="33">
        <v>1903350</v>
      </c>
    </row>
    <row r="20" spans="1:11" x14ac:dyDescent="0.25">
      <c r="A20" s="42" t="s">
        <v>706</v>
      </c>
      <c r="B20" s="43"/>
      <c r="C20" s="43"/>
      <c r="D20" s="43"/>
      <c r="E20" s="43"/>
      <c r="F20" s="43"/>
      <c r="G20" s="43"/>
      <c r="H20" s="44"/>
      <c r="I20" s="33">
        <v>227830.52</v>
      </c>
    </row>
    <row r="21" spans="1:11" ht="7.5" customHeight="1" x14ac:dyDescent="0.25"/>
    <row r="22" spans="1:11" x14ac:dyDescent="0.25">
      <c r="A22" s="46" t="s">
        <v>20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63.75" customHeight="1" x14ac:dyDescent="0.25">
      <c r="A23" s="4" t="s">
        <v>0</v>
      </c>
      <c r="B23" s="5" t="s">
        <v>10</v>
      </c>
      <c r="C23" s="5" t="s">
        <v>9</v>
      </c>
      <c r="D23" s="5" t="s">
        <v>13</v>
      </c>
      <c r="E23" s="5" t="s">
        <v>12</v>
      </c>
      <c r="F23" s="5" t="s">
        <v>11</v>
      </c>
      <c r="G23" s="5" t="s">
        <v>18</v>
      </c>
      <c r="H23" s="5" t="s">
        <v>14</v>
      </c>
      <c r="I23" s="5" t="s">
        <v>15</v>
      </c>
      <c r="J23" s="5" t="s">
        <v>16</v>
      </c>
      <c r="K23" s="5" t="s">
        <v>17</v>
      </c>
    </row>
    <row r="24" spans="1:11" s="18" customFormat="1" ht="24" x14ac:dyDescent="0.25">
      <c r="A24" s="3">
        <v>1</v>
      </c>
      <c r="B24" s="14" t="s">
        <v>32</v>
      </c>
      <c r="C24" s="15" t="str">
        <f>"DHMZ-14/2013-2KOM"</f>
        <v>DHMZ-14/2013-2KOM</v>
      </c>
      <c r="D24" s="15" t="str">
        <f>CONCATENATE("HYPO-LEASING STEIERMARK D.O.O.")</f>
        <v>HYPO-LEASING STEIERMARK D.O.O.</v>
      </c>
      <c r="E24" s="16">
        <v>41939</v>
      </c>
      <c r="F24" s="16">
        <v>43765</v>
      </c>
      <c r="G24" s="13">
        <v>765954</v>
      </c>
      <c r="H24" s="16">
        <v>43765</v>
      </c>
      <c r="I24" s="13">
        <v>0</v>
      </c>
      <c r="J24" s="13">
        <f>I24*1.25</f>
        <v>0</v>
      </c>
      <c r="K24" s="6"/>
    </row>
    <row r="25" spans="1:11" s="18" customFormat="1" ht="24" x14ac:dyDescent="0.25">
      <c r="A25" s="3">
        <v>2</v>
      </c>
      <c r="B25" s="14" t="s">
        <v>53</v>
      </c>
      <c r="C25" s="15" t="str">
        <f>"MB-14/2013-1KOM"</f>
        <v>MB-14/2013-1KOM</v>
      </c>
      <c r="D25" s="15" t="str">
        <f>CONCATENATE("HYPO-LEASING STEIERMARK D.O.O.")</f>
        <v>HYPO-LEASING STEIERMARK D.O.O.</v>
      </c>
      <c r="E25" s="16">
        <v>41936</v>
      </c>
      <c r="F25" s="16">
        <v>43762</v>
      </c>
      <c r="G25" s="13">
        <v>423612</v>
      </c>
      <c r="H25" s="16">
        <v>43762</v>
      </c>
      <c r="I25" s="13">
        <v>87898.91</v>
      </c>
      <c r="J25" s="13">
        <f t="shared" ref="J25:J26" si="0">I25*1.25</f>
        <v>109873.63750000001</v>
      </c>
      <c r="K25" s="6"/>
    </row>
    <row r="26" spans="1:11" s="18" customFormat="1" ht="24" x14ac:dyDescent="0.25">
      <c r="A26" s="3">
        <v>3</v>
      </c>
      <c r="B26" s="14" t="s">
        <v>25</v>
      </c>
      <c r="C26" s="15" t="str">
        <f>"MK-14/2013-6KOM"</f>
        <v>MK-14/2013-6KOM</v>
      </c>
      <c r="D26" s="15" t="str">
        <f>CONCATENATE("HYPO-LEASING STEIERMARK D.O.O.")</f>
        <v>HYPO-LEASING STEIERMARK D.O.O.</v>
      </c>
      <c r="E26" s="16">
        <v>41900</v>
      </c>
      <c r="F26" s="16">
        <v>43726</v>
      </c>
      <c r="G26" s="13">
        <v>688743</v>
      </c>
      <c r="H26" s="16">
        <v>43726</v>
      </c>
      <c r="I26" s="13">
        <v>139931.60999999999</v>
      </c>
      <c r="J26" s="13">
        <f t="shared" si="0"/>
        <v>174914.51249999998</v>
      </c>
      <c r="K26" s="6"/>
    </row>
    <row r="27" spans="1:11" ht="7.5" customHeight="1" x14ac:dyDescent="0.25"/>
    <row r="28" spans="1:11" ht="42" customHeight="1" x14ac:dyDescent="0.25">
      <c r="A28" s="1" t="s">
        <v>0</v>
      </c>
      <c r="B28" s="2" t="s">
        <v>1</v>
      </c>
      <c r="C28" s="2" t="s">
        <v>6</v>
      </c>
      <c r="D28" s="2" t="s">
        <v>2</v>
      </c>
      <c r="E28" s="2" t="s">
        <v>3</v>
      </c>
      <c r="F28" s="2" t="s">
        <v>7</v>
      </c>
      <c r="G28" s="2" t="s">
        <v>8</v>
      </c>
      <c r="H28" s="2" t="s">
        <v>4</v>
      </c>
      <c r="I28" s="2" t="s">
        <v>5</v>
      </c>
    </row>
    <row r="29" spans="1:11" ht="36" x14ac:dyDescent="0.25">
      <c r="A29" s="3">
        <v>1</v>
      </c>
      <c r="B29" s="19" t="s">
        <v>666</v>
      </c>
      <c r="C29" s="20" t="s">
        <v>652</v>
      </c>
      <c r="D29" s="3" t="s">
        <v>688</v>
      </c>
      <c r="E29" s="3" t="s">
        <v>24</v>
      </c>
      <c r="F29" s="21">
        <v>41603</v>
      </c>
      <c r="G29" s="3" t="s">
        <v>668</v>
      </c>
      <c r="H29" s="13">
        <v>52045000</v>
      </c>
      <c r="I29" s="13">
        <v>49079052</v>
      </c>
    </row>
    <row r="30" spans="1:11" x14ac:dyDescent="0.25">
      <c r="A30" s="42" t="s">
        <v>706</v>
      </c>
      <c r="B30" s="43"/>
      <c r="C30" s="43"/>
      <c r="D30" s="43"/>
      <c r="E30" s="43"/>
      <c r="F30" s="43"/>
      <c r="G30" s="43"/>
      <c r="H30" s="44"/>
      <c r="I30" s="13">
        <v>11474858.85</v>
      </c>
    </row>
    <row r="31" spans="1:11" ht="7.5" customHeight="1" x14ac:dyDescent="0.25"/>
    <row r="32" spans="1:11" x14ac:dyDescent="0.25">
      <c r="A32" s="46" t="s">
        <v>20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63.75" customHeight="1" x14ac:dyDescent="0.25">
      <c r="A33" s="4" t="s">
        <v>0</v>
      </c>
      <c r="B33" s="5" t="s">
        <v>10</v>
      </c>
      <c r="C33" s="5" t="s">
        <v>9</v>
      </c>
      <c r="D33" s="5" t="s">
        <v>13</v>
      </c>
      <c r="E33" s="5" t="s">
        <v>12</v>
      </c>
      <c r="F33" s="5" t="s">
        <v>11</v>
      </c>
      <c r="G33" s="5" t="s">
        <v>18</v>
      </c>
      <c r="H33" s="5" t="s">
        <v>14</v>
      </c>
      <c r="I33" s="5" t="s">
        <v>15</v>
      </c>
      <c r="J33" s="5" t="s">
        <v>16</v>
      </c>
      <c r="K33" s="5" t="s">
        <v>17</v>
      </c>
    </row>
    <row r="34" spans="1:11" ht="24" x14ac:dyDescent="0.25">
      <c r="A34" s="3">
        <v>1</v>
      </c>
      <c r="B34" s="14" t="s">
        <v>33</v>
      </c>
      <c r="C34" s="15" t="str">
        <f>"MFIN-CU-2/2013-1-20KOM"</f>
        <v>MFIN-CU-2/2013-1-20KOM</v>
      </c>
      <c r="D34" s="15" t="str">
        <f t="shared" ref="D34:D60" si="1">CONCATENATE("PORSCHE LEASING D.O.O.")</f>
        <v>PORSCHE LEASING D.O.O.</v>
      </c>
      <c r="E34" s="16">
        <v>41971</v>
      </c>
      <c r="F34" s="16">
        <v>43797</v>
      </c>
      <c r="G34" s="13">
        <v>1929607</v>
      </c>
      <c r="H34" s="16">
        <v>43797</v>
      </c>
      <c r="I34" s="13">
        <v>370079.75</v>
      </c>
      <c r="J34" s="13">
        <f t="shared" ref="J34:J60" si="2">I34*1.25</f>
        <v>462599.6875</v>
      </c>
      <c r="K34" s="6"/>
    </row>
    <row r="35" spans="1:11" ht="24" x14ac:dyDescent="0.25">
      <c r="A35" s="3">
        <v>2</v>
      </c>
      <c r="B35" s="14" t="s">
        <v>43</v>
      </c>
      <c r="C35" s="15" t="str">
        <f>"MRMS-2/2013-1-26KOM"</f>
        <v>MRMS-2/2013-1-26KOM</v>
      </c>
      <c r="D35" s="15" t="str">
        <f t="shared" si="1"/>
        <v>PORSCHE LEASING D.O.O.</v>
      </c>
      <c r="E35" s="16">
        <v>41962</v>
      </c>
      <c r="F35" s="16">
        <v>43788</v>
      </c>
      <c r="G35" s="13">
        <v>2519226</v>
      </c>
      <c r="H35" s="16">
        <v>43788</v>
      </c>
      <c r="I35" s="13">
        <v>522669.99</v>
      </c>
      <c r="J35" s="13">
        <f t="shared" si="2"/>
        <v>653337.48750000005</v>
      </c>
      <c r="K35" s="6"/>
    </row>
    <row r="36" spans="1:11" ht="24" x14ac:dyDescent="0.25">
      <c r="A36" s="3">
        <v>3</v>
      </c>
      <c r="B36" s="14" t="s">
        <v>51</v>
      </c>
      <c r="C36" s="15" t="str">
        <f>"MPS-2/2013-1-11KOM"</f>
        <v>MPS-2/2013-1-11KOM</v>
      </c>
      <c r="D36" s="15" t="str">
        <f t="shared" si="1"/>
        <v>PORSCHE LEASING D.O.O.</v>
      </c>
      <c r="E36" s="16">
        <v>41901</v>
      </c>
      <c r="F36" s="16">
        <v>43727</v>
      </c>
      <c r="G36" s="13">
        <v>1769013</v>
      </c>
      <c r="H36" s="16">
        <v>43727</v>
      </c>
      <c r="I36" s="13">
        <v>381944.66</v>
      </c>
      <c r="J36" s="13">
        <f t="shared" si="2"/>
        <v>477430.82499999995</v>
      </c>
      <c r="K36" s="6"/>
    </row>
    <row r="37" spans="1:11" ht="24" x14ac:dyDescent="0.25">
      <c r="A37" s="3">
        <v>4</v>
      </c>
      <c r="B37" s="14" t="s">
        <v>50</v>
      </c>
      <c r="C37" s="15" t="str">
        <f>"DUHIRH-2/2013-1-3KOM"</f>
        <v>DUHIRH-2/2013-1-3KOM</v>
      </c>
      <c r="D37" s="15" t="str">
        <f t="shared" si="1"/>
        <v>PORSCHE LEASING D.O.O.</v>
      </c>
      <c r="E37" s="16">
        <v>41817</v>
      </c>
      <c r="F37" s="16">
        <v>43769</v>
      </c>
      <c r="G37" s="13">
        <v>565749</v>
      </c>
      <c r="H37" s="16">
        <v>43769</v>
      </c>
      <c r="I37" s="13">
        <v>107564.49</v>
      </c>
      <c r="J37" s="13">
        <f t="shared" si="2"/>
        <v>134455.61250000002</v>
      </c>
      <c r="K37" s="6"/>
    </row>
    <row r="38" spans="1:11" ht="24" x14ac:dyDescent="0.25">
      <c r="A38" s="3">
        <v>5</v>
      </c>
      <c r="B38" s="14" t="s">
        <v>47</v>
      </c>
      <c r="C38" s="15" t="str">
        <f>"DUUDI-2/2013-1-2KOM"</f>
        <v>DUUDI-2/2013-1-2KOM</v>
      </c>
      <c r="D38" s="15" t="str">
        <f t="shared" si="1"/>
        <v>PORSCHE LEASING D.O.O.</v>
      </c>
      <c r="E38" s="16">
        <v>41813</v>
      </c>
      <c r="F38" s="16">
        <v>43639</v>
      </c>
      <c r="G38" s="13">
        <v>164646</v>
      </c>
      <c r="H38" s="16">
        <v>43639</v>
      </c>
      <c r="I38" s="13">
        <v>37365.47</v>
      </c>
      <c r="J38" s="13">
        <f t="shared" si="2"/>
        <v>46706.837500000001</v>
      </c>
      <c r="K38" s="6"/>
    </row>
    <row r="39" spans="1:11" ht="24" x14ac:dyDescent="0.25">
      <c r="A39" s="3">
        <v>6</v>
      </c>
      <c r="B39" s="14" t="s">
        <v>653</v>
      </c>
      <c r="C39" s="15" t="str">
        <f>"REGOS-2/2013-1-1KOM"</f>
        <v>REGOS-2/2013-1-1KOM</v>
      </c>
      <c r="D39" s="15" t="str">
        <f t="shared" si="1"/>
        <v>PORSCHE LEASING D.O.O.</v>
      </c>
      <c r="E39" s="16">
        <v>41794</v>
      </c>
      <c r="F39" s="16">
        <v>43620</v>
      </c>
      <c r="G39" s="13">
        <v>82773</v>
      </c>
      <c r="H39" s="16">
        <v>43620</v>
      </c>
      <c r="I39" s="40">
        <v>0</v>
      </c>
      <c r="J39" s="40">
        <f t="shared" si="2"/>
        <v>0</v>
      </c>
      <c r="K39" s="6"/>
    </row>
    <row r="40" spans="1:11" ht="60" x14ac:dyDescent="0.25">
      <c r="A40" s="3">
        <v>7</v>
      </c>
      <c r="B40" s="14" t="s">
        <v>654</v>
      </c>
      <c r="C40" s="15" t="str">
        <f>"ZVPR-2/2013-1-1KOM"</f>
        <v>ZVPR-2/2013-1-1KOM</v>
      </c>
      <c r="D40" s="15" t="str">
        <f t="shared" si="1"/>
        <v>PORSCHE LEASING D.O.O.</v>
      </c>
      <c r="E40" s="16">
        <v>41792</v>
      </c>
      <c r="F40" s="16">
        <v>43618</v>
      </c>
      <c r="G40" s="13">
        <v>98316</v>
      </c>
      <c r="H40" s="16">
        <v>43618</v>
      </c>
      <c r="I40" s="40">
        <v>0</v>
      </c>
      <c r="J40" s="40">
        <f t="shared" si="2"/>
        <v>0</v>
      </c>
      <c r="K40" s="6"/>
    </row>
    <row r="41" spans="1:11" ht="24" x14ac:dyDescent="0.25">
      <c r="A41" s="3">
        <v>8</v>
      </c>
      <c r="B41" s="14" t="s">
        <v>108</v>
      </c>
      <c r="C41" s="15" t="str">
        <f>"HZZO-2/2013-1-16KOM"</f>
        <v>HZZO-2/2013-1-16KOM</v>
      </c>
      <c r="D41" s="15" t="str">
        <f t="shared" si="1"/>
        <v>PORSCHE LEASING D.O.O.</v>
      </c>
      <c r="E41" s="16">
        <v>41757</v>
      </c>
      <c r="F41" s="16">
        <v>43583</v>
      </c>
      <c r="G41" s="13">
        <v>1471248</v>
      </c>
      <c r="H41" s="16">
        <v>43583</v>
      </c>
      <c r="I41" s="47">
        <v>370209.79</v>
      </c>
      <c r="J41" s="47">
        <f t="shared" si="2"/>
        <v>462762.23749999999</v>
      </c>
      <c r="K41" s="6"/>
    </row>
    <row r="42" spans="1:11" ht="24" x14ac:dyDescent="0.25">
      <c r="A42" s="3">
        <v>9</v>
      </c>
      <c r="B42" s="14" t="s">
        <v>39</v>
      </c>
      <c r="C42" s="15" t="str">
        <f>"MVEP-2/2013-1-15KOM"</f>
        <v>MVEP-2/2013-1-15KOM</v>
      </c>
      <c r="D42" s="15" t="str">
        <f t="shared" si="1"/>
        <v>PORSCHE LEASING D.O.O.</v>
      </c>
      <c r="E42" s="16">
        <v>41751</v>
      </c>
      <c r="F42" s="16">
        <v>43577</v>
      </c>
      <c r="G42" s="13">
        <v>2063749.5</v>
      </c>
      <c r="H42" s="16">
        <v>43577</v>
      </c>
      <c r="I42" s="13">
        <v>688521.2</v>
      </c>
      <c r="J42" s="13">
        <f t="shared" si="2"/>
        <v>860651.5</v>
      </c>
      <c r="K42" s="6"/>
    </row>
    <row r="43" spans="1:11" ht="36" x14ac:dyDescent="0.25">
      <c r="A43" s="3">
        <v>10</v>
      </c>
      <c r="B43" s="14" t="s">
        <v>59</v>
      </c>
      <c r="C43" s="15" t="str">
        <f>"MRRFEU-2/2013-1-16KOM"</f>
        <v>MRRFEU-2/2013-1-16KOM</v>
      </c>
      <c r="D43" s="15" t="str">
        <f t="shared" si="1"/>
        <v>PORSCHE LEASING D.O.O.</v>
      </c>
      <c r="E43" s="16">
        <v>41746</v>
      </c>
      <c r="F43" s="16">
        <v>43572</v>
      </c>
      <c r="G43" s="13">
        <v>2219989.5</v>
      </c>
      <c r="H43" s="16">
        <v>43572</v>
      </c>
      <c r="I43" s="13">
        <v>420386.33</v>
      </c>
      <c r="J43" s="13">
        <f t="shared" si="2"/>
        <v>525482.91249999998</v>
      </c>
      <c r="K43" s="6"/>
    </row>
    <row r="44" spans="1:11" ht="24" x14ac:dyDescent="0.25">
      <c r="A44" s="3">
        <v>11</v>
      </c>
      <c r="B44" s="14" t="s">
        <v>44</v>
      </c>
      <c r="C44" s="15" t="str">
        <f>"MFIN-PU-2/2013-1-80KOM"</f>
        <v>MFIN-PU-2/2013-1-80KOM</v>
      </c>
      <c r="D44" s="15" t="str">
        <f t="shared" si="1"/>
        <v>PORSCHE LEASING D.O.O.</v>
      </c>
      <c r="E44" s="16">
        <v>41736</v>
      </c>
      <c r="F44" s="16">
        <v>43562</v>
      </c>
      <c r="G44" s="13">
        <v>5306700</v>
      </c>
      <c r="H44" s="16">
        <v>43562</v>
      </c>
      <c r="I44" s="13">
        <v>1827011.98</v>
      </c>
      <c r="J44" s="13">
        <f t="shared" si="2"/>
        <v>2283764.9750000001</v>
      </c>
      <c r="K44" s="6"/>
    </row>
    <row r="45" spans="1:11" ht="24" x14ac:dyDescent="0.25">
      <c r="A45" s="3">
        <v>12</v>
      </c>
      <c r="B45" s="14" t="s">
        <v>25</v>
      </c>
      <c r="C45" s="15" t="str">
        <f>"MK-2/2013-1-9KOM"</f>
        <v>MK-2/2013-1-9KOM</v>
      </c>
      <c r="D45" s="15" t="str">
        <f t="shared" si="1"/>
        <v>PORSCHE LEASING D.O.O.</v>
      </c>
      <c r="E45" s="16">
        <v>41736</v>
      </c>
      <c r="F45" s="16">
        <v>43562</v>
      </c>
      <c r="G45" s="13">
        <v>1092042</v>
      </c>
      <c r="H45" s="16">
        <v>43562</v>
      </c>
      <c r="I45" s="13">
        <v>219611.76</v>
      </c>
      <c r="J45" s="13">
        <f t="shared" si="2"/>
        <v>274514.7</v>
      </c>
      <c r="K45" s="6"/>
    </row>
    <row r="46" spans="1:11" ht="24" x14ac:dyDescent="0.25">
      <c r="A46" s="3">
        <v>13</v>
      </c>
      <c r="B46" s="14" t="s">
        <v>53</v>
      </c>
      <c r="C46" s="15" t="str">
        <f>"MB-2/2013-1-4KOM"</f>
        <v>MB-2/2013-1-4KOM</v>
      </c>
      <c r="D46" s="15" t="str">
        <f t="shared" si="1"/>
        <v>PORSCHE LEASING D.O.O.</v>
      </c>
      <c r="E46" s="16">
        <v>41732</v>
      </c>
      <c r="F46" s="16">
        <v>43558</v>
      </c>
      <c r="G46" s="13">
        <v>1204618.5</v>
      </c>
      <c r="H46" s="16">
        <v>43558</v>
      </c>
      <c r="I46" s="13">
        <v>235334.25</v>
      </c>
      <c r="J46" s="13">
        <f t="shared" si="2"/>
        <v>294167.8125</v>
      </c>
      <c r="K46" s="6"/>
    </row>
    <row r="47" spans="1:11" ht="24" x14ac:dyDescent="0.25">
      <c r="A47" s="3">
        <v>14</v>
      </c>
      <c r="B47" s="14" t="s">
        <v>58</v>
      </c>
      <c r="C47" s="15" t="str">
        <f>"MZOS-2/2013-1-7KOM"</f>
        <v>MZOS-2/2013-1-7KOM</v>
      </c>
      <c r="D47" s="15" t="str">
        <f t="shared" si="1"/>
        <v>PORSCHE LEASING D.O.O.</v>
      </c>
      <c r="E47" s="16">
        <v>41731</v>
      </c>
      <c r="F47" s="16">
        <v>43557</v>
      </c>
      <c r="G47" s="13">
        <v>1260396</v>
      </c>
      <c r="H47" s="16">
        <v>43557</v>
      </c>
      <c r="I47" s="13">
        <v>251114.74</v>
      </c>
      <c r="J47" s="13">
        <f t="shared" si="2"/>
        <v>313893.42499999999</v>
      </c>
      <c r="K47" s="6"/>
    </row>
    <row r="48" spans="1:11" ht="24" x14ac:dyDescent="0.25">
      <c r="A48" s="3">
        <v>15</v>
      </c>
      <c r="B48" s="14" t="s">
        <v>45</v>
      </c>
      <c r="C48" s="15" t="str">
        <f>"MZOP-2/2013-1-14KOM"</f>
        <v>MZOP-2/2013-1-14KOM</v>
      </c>
      <c r="D48" s="15" t="str">
        <f t="shared" si="1"/>
        <v>PORSCHE LEASING D.O.O.</v>
      </c>
      <c r="E48" s="16">
        <v>41730</v>
      </c>
      <c r="F48" s="16">
        <v>43556</v>
      </c>
      <c r="G48" s="13">
        <v>1402011</v>
      </c>
      <c r="H48" s="16">
        <v>43556</v>
      </c>
      <c r="I48" s="13">
        <v>278298.5</v>
      </c>
      <c r="J48" s="13">
        <f t="shared" si="2"/>
        <v>347873.125</v>
      </c>
      <c r="K48" s="6"/>
    </row>
    <row r="49" spans="1:11" ht="24" x14ac:dyDescent="0.25">
      <c r="A49" s="3">
        <v>16</v>
      </c>
      <c r="B49" s="14" t="s">
        <v>36</v>
      </c>
      <c r="C49" s="15" t="str">
        <f>"MIZ-2/2013-1-24KOM"</f>
        <v>MIZ-2/2013-1-24KOM</v>
      </c>
      <c r="D49" s="15" t="str">
        <f t="shared" si="1"/>
        <v>PORSCHE LEASING D.O.O.</v>
      </c>
      <c r="E49" s="16">
        <v>41729</v>
      </c>
      <c r="F49" s="16">
        <v>43555</v>
      </c>
      <c r="G49" s="13">
        <v>2572051.5</v>
      </c>
      <c r="H49" s="16">
        <v>43555</v>
      </c>
      <c r="I49" s="13">
        <v>518422.09</v>
      </c>
      <c r="J49" s="13">
        <f t="shared" si="2"/>
        <v>648027.61250000005</v>
      </c>
      <c r="K49" s="6"/>
    </row>
    <row r="50" spans="1:11" ht="24" x14ac:dyDescent="0.25">
      <c r="A50" s="3">
        <v>17</v>
      </c>
      <c r="B50" s="14" t="s">
        <v>41</v>
      </c>
      <c r="C50" s="15" t="str">
        <f>"MPRAVO-2/2013-1-69KOM"</f>
        <v>MPRAVO-2/2013-1-69KOM</v>
      </c>
      <c r="D50" s="15" t="str">
        <f t="shared" si="1"/>
        <v>PORSCHE LEASING D.O.O.</v>
      </c>
      <c r="E50" s="16">
        <v>41726</v>
      </c>
      <c r="F50" s="16">
        <v>43552</v>
      </c>
      <c r="G50" s="13">
        <v>8300457</v>
      </c>
      <c r="H50" s="16">
        <v>43552</v>
      </c>
      <c r="I50" s="13">
        <v>2681050.94</v>
      </c>
      <c r="J50" s="13">
        <f t="shared" si="2"/>
        <v>3351313.6749999998</v>
      </c>
      <c r="K50" s="6"/>
    </row>
    <row r="51" spans="1:11" ht="48" x14ac:dyDescent="0.25">
      <c r="A51" s="3">
        <v>18</v>
      </c>
      <c r="B51" s="14" t="s">
        <v>655</v>
      </c>
      <c r="C51" s="15" t="str">
        <f>"AZIN-2/2013-1-2KOM"</f>
        <v>AZIN-2/2013-1-2KOM</v>
      </c>
      <c r="D51" s="15" t="str">
        <f t="shared" si="1"/>
        <v>PORSCHE LEASING D.O.O.</v>
      </c>
      <c r="E51" s="16">
        <v>41725</v>
      </c>
      <c r="F51" s="16">
        <v>43551</v>
      </c>
      <c r="G51" s="13">
        <v>277029</v>
      </c>
      <c r="H51" s="16">
        <v>43551</v>
      </c>
      <c r="I51" s="13">
        <v>74030.399999999994</v>
      </c>
      <c r="J51" s="13">
        <f t="shared" si="2"/>
        <v>92538</v>
      </c>
      <c r="K51" s="6"/>
    </row>
    <row r="52" spans="1:11" ht="24" x14ac:dyDescent="0.25">
      <c r="A52" s="3">
        <v>19</v>
      </c>
      <c r="B52" s="14" t="s">
        <v>49</v>
      </c>
      <c r="C52" s="15" t="str">
        <f>"MINT-2/2013-1-9KOM"</f>
        <v>MINT-2/2013-1-9KOM</v>
      </c>
      <c r="D52" s="15" t="str">
        <f t="shared" si="1"/>
        <v>PORSCHE LEASING D.O.O.</v>
      </c>
      <c r="E52" s="16">
        <v>41724</v>
      </c>
      <c r="F52" s="16">
        <v>43550</v>
      </c>
      <c r="G52" s="13">
        <v>1569752.5</v>
      </c>
      <c r="H52" s="16">
        <v>43550</v>
      </c>
      <c r="I52" s="13">
        <v>324574.65999999997</v>
      </c>
      <c r="J52" s="13">
        <f t="shared" si="2"/>
        <v>405718.32499999995</v>
      </c>
      <c r="K52" s="6"/>
    </row>
    <row r="53" spans="1:11" ht="24" x14ac:dyDescent="0.25">
      <c r="A53" s="3">
        <v>20</v>
      </c>
      <c r="B53" s="14" t="s">
        <v>62</v>
      </c>
      <c r="C53" s="15" t="str">
        <f>"MSPM-2/2013-1-45KOM"</f>
        <v>MSPM-2/2013-1-45KOM</v>
      </c>
      <c r="D53" s="15" t="str">
        <f t="shared" si="1"/>
        <v>PORSCHE LEASING D.O.O.</v>
      </c>
      <c r="E53" s="16">
        <v>41722</v>
      </c>
      <c r="F53" s="16">
        <v>43548</v>
      </c>
      <c r="G53" s="13">
        <v>3949497</v>
      </c>
      <c r="H53" s="16">
        <v>43548</v>
      </c>
      <c r="I53" s="13">
        <v>809913.72</v>
      </c>
      <c r="J53" s="13">
        <f t="shared" si="2"/>
        <v>1012392.1499999999</v>
      </c>
      <c r="K53" s="6"/>
    </row>
    <row r="54" spans="1:11" ht="24" x14ac:dyDescent="0.25">
      <c r="A54" s="3">
        <v>21</v>
      </c>
      <c r="B54" s="14" t="s">
        <v>29</v>
      </c>
      <c r="C54" s="15" t="str">
        <f>"MFIN-2/2013-1-3KOM"</f>
        <v>MFIN-2/2013-1-3KOM</v>
      </c>
      <c r="D54" s="15" t="str">
        <f t="shared" si="1"/>
        <v>PORSCHE LEASING D.O.O.</v>
      </c>
      <c r="E54" s="16">
        <v>41709</v>
      </c>
      <c r="F54" s="16">
        <v>43535</v>
      </c>
      <c r="G54" s="13">
        <v>480343.5</v>
      </c>
      <c r="H54" s="16">
        <v>43535</v>
      </c>
      <c r="I54" s="13">
        <v>98939.93</v>
      </c>
      <c r="J54" s="13">
        <f t="shared" si="2"/>
        <v>123674.91249999999</v>
      </c>
      <c r="K54" s="6"/>
    </row>
    <row r="55" spans="1:11" ht="24" x14ac:dyDescent="0.25">
      <c r="A55" s="3">
        <v>22</v>
      </c>
      <c r="B55" s="14" t="s">
        <v>48</v>
      </c>
      <c r="C55" s="15" t="str">
        <f>"DZIV-2/2013-1-1KOM"</f>
        <v>DZIV-2/2013-1-1KOM</v>
      </c>
      <c r="D55" s="15" t="str">
        <f t="shared" si="1"/>
        <v>PORSCHE LEASING D.O.O.</v>
      </c>
      <c r="E55" s="16">
        <v>41708</v>
      </c>
      <c r="F55" s="16">
        <v>43534</v>
      </c>
      <c r="G55" s="13">
        <v>160144.5</v>
      </c>
      <c r="H55" s="16">
        <v>43534</v>
      </c>
      <c r="I55" s="13">
        <v>32529.58</v>
      </c>
      <c r="J55" s="13">
        <f t="shared" si="2"/>
        <v>40661.975000000006</v>
      </c>
      <c r="K55" s="6"/>
    </row>
    <row r="56" spans="1:11" ht="24" x14ac:dyDescent="0.25">
      <c r="A56" s="3">
        <v>23</v>
      </c>
      <c r="B56" s="14" t="s">
        <v>91</v>
      </c>
      <c r="C56" s="15" t="str">
        <f>"MPO-2/2013-1-6KOM"</f>
        <v>MPO-2/2013-1-6KOM</v>
      </c>
      <c r="D56" s="15" t="str">
        <f t="shared" si="1"/>
        <v>PORSCHE LEASING D.O.O.</v>
      </c>
      <c r="E56" s="16">
        <v>41708</v>
      </c>
      <c r="F56" s="16">
        <v>43534</v>
      </c>
      <c r="G56" s="13">
        <v>1367694</v>
      </c>
      <c r="H56" s="16">
        <v>43534</v>
      </c>
      <c r="I56" s="39">
        <v>461914.72</v>
      </c>
      <c r="J56" s="39">
        <f t="shared" si="2"/>
        <v>577393.39999999991</v>
      </c>
      <c r="K56" s="6"/>
    </row>
    <row r="57" spans="1:11" ht="24" x14ac:dyDescent="0.25">
      <c r="A57" s="3">
        <v>24</v>
      </c>
      <c r="B57" s="14" t="s">
        <v>28</v>
      </c>
      <c r="C57" s="15" t="str">
        <f>"MGPU-2/2013-1-17KOM"</f>
        <v>MGPU-2/2013-1-17KOM</v>
      </c>
      <c r="D57" s="15" t="str">
        <f t="shared" si="1"/>
        <v>PORSCHE LEASING D.O.O.</v>
      </c>
      <c r="E57" s="16">
        <v>41708</v>
      </c>
      <c r="F57" s="16">
        <v>43534</v>
      </c>
      <c r="G57" s="13">
        <v>1160496</v>
      </c>
      <c r="H57" s="16">
        <v>43534</v>
      </c>
      <c r="I57" s="13">
        <v>194501.64</v>
      </c>
      <c r="J57" s="13">
        <f t="shared" si="2"/>
        <v>243127.05000000002</v>
      </c>
      <c r="K57" s="6"/>
    </row>
    <row r="58" spans="1:11" ht="24" x14ac:dyDescent="0.25">
      <c r="A58" s="3">
        <v>25</v>
      </c>
      <c r="B58" s="14" t="s">
        <v>61</v>
      </c>
      <c r="C58" s="15" t="str">
        <f>"DZM-2/2013-1-8KOM"</f>
        <v>DZM-2/2013-1-8KOM</v>
      </c>
      <c r="D58" s="15" t="str">
        <f t="shared" si="1"/>
        <v>PORSCHE LEASING D.O.O.</v>
      </c>
      <c r="E58" s="16">
        <v>41708</v>
      </c>
      <c r="F58" s="16">
        <v>43534</v>
      </c>
      <c r="G58" s="13">
        <v>969804</v>
      </c>
      <c r="H58" s="16">
        <v>43534</v>
      </c>
      <c r="I58" s="13">
        <v>200521.62</v>
      </c>
      <c r="J58" s="13">
        <f t="shared" si="2"/>
        <v>250652.02499999999</v>
      </c>
      <c r="K58" s="6"/>
    </row>
    <row r="59" spans="1:11" ht="24" x14ac:dyDescent="0.25">
      <c r="A59" s="3">
        <v>26</v>
      </c>
      <c r="B59" s="14" t="s">
        <v>55</v>
      </c>
      <c r="C59" s="15" t="str">
        <f>"MPPI-2/2013-1-27KOM"</f>
        <v>MPPI-2/2013-1-27KOM</v>
      </c>
      <c r="D59" s="15" t="str">
        <f t="shared" si="1"/>
        <v>PORSCHE LEASING D.O.O.</v>
      </c>
      <c r="E59" s="16">
        <v>41705</v>
      </c>
      <c r="F59" s="16">
        <v>43531</v>
      </c>
      <c r="G59" s="13">
        <v>3304353.3</v>
      </c>
      <c r="H59" s="16">
        <v>43531</v>
      </c>
      <c r="I59" s="13">
        <v>0</v>
      </c>
      <c r="J59" s="13">
        <f t="shared" si="2"/>
        <v>0</v>
      </c>
      <c r="K59" s="6"/>
    </row>
    <row r="60" spans="1:11" ht="24" x14ac:dyDescent="0.25">
      <c r="A60" s="3">
        <v>27</v>
      </c>
      <c r="B60" s="14" t="s">
        <v>90</v>
      </c>
      <c r="C60" s="15" t="str">
        <f>"MINGO-2/2013-1-17KOM"</f>
        <v>MINGO-2/2013-1-17KOM</v>
      </c>
      <c r="D60" s="15" t="str">
        <f t="shared" si="1"/>
        <v>PORSCHE LEASING D.O.O.</v>
      </c>
      <c r="E60" s="16">
        <v>41705</v>
      </c>
      <c r="F60" s="16">
        <v>43531</v>
      </c>
      <c r="G60" s="13">
        <v>1384852.5</v>
      </c>
      <c r="H60" s="16">
        <v>43531</v>
      </c>
      <c r="I60" s="13">
        <v>368346.64</v>
      </c>
      <c r="J60" s="13">
        <f t="shared" si="2"/>
        <v>460433.30000000005</v>
      </c>
      <c r="K60" s="6"/>
    </row>
    <row r="61" spans="1:11" ht="7.5" customHeight="1" x14ac:dyDescent="0.25"/>
    <row r="62" spans="1:11" ht="42" customHeight="1" x14ac:dyDescent="0.25">
      <c r="A62" s="1" t="s">
        <v>0</v>
      </c>
      <c r="B62" s="2" t="s">
        <v>1</v>
      </c>
      <c r="C62" s="2" t="s">
        <v>6</v>
      </c>
      <c r="D62" s="2" t="s">
        <v>2</v>
      </c>
      <c r="E62" s="2" t="s">
        <v>3</v>
      </c>
      <c r="F62" s="2" t="s">
        <v>7</v>
      </c>
      <c r="G62" s="2" t="s">
        <v>8</v>
      </c>
      <c r="H62" s="2" t="s">
        <v>4</v>
      </c>
      <c r="I62" s="2" t="s">
        <v>5</v>
      </c>
    </row>
    <row r="63" spans="1:11" ht="36" x14ac:dyDescent="0.25">
      <c r="A63" s="3">
        <v>1</v>
      </c>
      <c r="B63" s="19" t="s">
        <v>666</v>
      </c>
      <c r="C63" s="20" t="s">
        <v>656</v>
      </c>
      <c r="D63" s="3" t="s">
        <v>688</v>
      </c>
      <c r="E63" s="3" t="s">
        <v>24</v>
      </c>
      <c r="F63" s="21">
        <v>41617</v>
      </c>
      <c r="G63" s="3" t="s">
        <v>668</v>
      </c>
      <c r="H63" s="13">
        <v>103740000</v>
      </c>
      <c r="I63" s="13">
        <v>85282073.040000007</v>
      </c>
    </row>
    <row r="64" spans="1:11" x14ac:dyDescent="0.25">
      <c r="A64" s="42" t="s">
        <v>706</v>
      </c>
      <c r="B64" s="43"/>
      <c r="C64" s="43"/>
      <c r="D64" s="43"/>
      <c r="E64" s="43"/>
      <c r="F64" s="43"/>
      <c r="G64" s="43"/>
      <c r="H64" s="44"/>
      <c r="I64" s="13">
        <v>28954338.989999998</v>
      </c>
    </row>
    <row r="65" spans="1:11" ht="7.5" customHeight="1" x14ac:dyDescent="0.25"/>
    <row r="66" spans="1:11" x14ac:dyDescent="0.25">
      <c r="A66" s="46" t="s">
        <v>20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63.75" customHeight="1" x14ac:dyDescent="0.25">
      <c r="A67" s="4" t="s">
        <v>0</v>
      </c>
      <c r="B67" s="5" t="s">
        <v>10</v>
      </c>
      <c r="C67" s="5" t="s">
        <v>9</v>
      </c>
      <c r="D67" s="5" t="s">
        <v>13</v>
      </c>
      <c r="E67" s="5" t="s">
        <v>12</v>
      </c>
      <c r="F67" s="5" t="s">
        <v>11</v>
      </c>
      <c r="G67" s="5" t="s">
        <v>18</v>
      </c>
      <c r="H67" s="5" t="s">
        <v>14</v>
      </c>
      <c r="I67" s="5" t="s">
        <v>15</v>
      </c>
      <c r="J67" s="5" t="s">
        <v>16</v>
      </c>
      <c r="K67" s="5" t="s">
        <v>17</v>
      </c>
    </row>
    <row r="68" spans="1:11" ht="144" x14ac:dyDescent="0.25">
      <c r="A68" s="3">
        <v>1</v>
      </c>
      <c r="B68" s="14" t="s">
        <v>34</v>
      </c>
      <c r="C68" s="15" t="str">
        <f>"UZOP-2/2013-2"</f>
        <v>UZOP-2/2013-2</v>
      </c>
      <c r="D68" s="15" t="str">
        <f>CONCATENATE("1. Zajednica ponuditelja: ",CHAR(10),"    HYPO ALPE-ADRIA-LEASING D.O.O.",CHAR(10),"    UNICREDIT LEASING CROATIA D.O.O.",CHAR(10),"    IMPULS-LEASING D.O.O.",CHAR(10),"    OTP LEASING D.D.",CHAR(10),"    ERSTE &amp; STEIERMARKISCHE S-LEASING D.O.O.")</f>
        <v>1. Zajednica ponuditelja: 
    HYPO ALPE-ADRIA-LEASING D.O.O.
    UNICREDIT LEASING CROATIA D.O.O.
    IMPULS-LEASING D.O.O.
    OTP LEASING D.D.
    ERSTE &amp; STEIERMARKISCHE S-LEASING D.O.O.</v>
      </c>
      <c r="E68" s="16">
        <v>41695</v>
      </c>
      <c r="F68" s="16">
        <v>43521</v>
      </c>
      <c r="G68" s="13">
        <v>5636830.5</v>
      </c>
      <c r="H68" s="16">
        <v>43521</v>
      </c>
      <c r="I68" s="13">
        <v>2330574.1800000002</v>
      </c>
      <c r="J68" s="13">
        <f>I68*1.25</f>
        <v>2913217.7250000001</v>
      </c>
      <c r="K68" s="6"/>
    </row>
    <row r="69" spans="1:11" ht="144" x14ac:dyDescent="0.25">
      <c r="A69" s="3">
        <v>2</v>
      </c>
      <c r="B69" s="14" t="s">
        <v>27</v>
      </c>
      <c r="C69" s="15" t="str">
        <f>"MUP-2/2013-2-850KOM"</f>
        <v>MUP-2/2013-2-850KOM</v>
      </c>
      <c r="D69" s="15" t="str">
        <f>CONCATENATE("1. Zajednica ponuditelja: ",CHAR(10),"    HYPO ALPE-ADRIA-LEASING D.O.O.",CHAR(10),"    UNICREDIT LEASING CROATIA D.O.O.",CHAR(10),"    IMPULS-LEASING D.O.O.",CHAR(10),"    OTP LEASING D.D.",CHAR(10),"    ERSTE &amp; STEIERMARKISCHE S-LEASING D.O.O.")</f>
        <v>1. Zajednica ponuditelja: 
    HYPO ALPE-ADRIA-LEASING D.O.O.
    UNICREDIT LEASING CROATIA D.O.O.
    IMPULS-LEASING D.O.O.
    OTP LEASING D.D.
    ERSTE &amp; STEIERMARKISCHE S-LEASING D.O.O.</v>
      </c>
      <c r="E69" s="16">
        <v>41694</v>
      </c>
      <c r="F69" s="16">
        <v>43520</v>
      </c>
      <c r="G69" s="13">
        <v>78523114.200000003</v>
      </c>
      <c r="H69" s="16">
        <v>43520</v>
      </c>
      <c r="I69" s="13">
        <v>26623764.809999999</v>
      </c>
      <c r="J69" s="13">
        <f>I69*1.25</f>
        <v>33279706.012499999</v>
      </c>
      <c r="K69" s="6"/>
    </row>
    <row r="70" spans="1:11" ht="7.5" customHeight="1" x14ac:dyDescent="0.25"/>
    <row r="71" spans="1:11" ht="42" customHeight="1" x14ac:dyDescent="0.25">
      <c r="A71" s="1" t="s">
        <v>0</v>
      </c>
      <c r="B71" s="2" t="s">
        <v>1</v>
      </c>
      <c r="C71" s="2" t="s">
        <v>6</v>
      </c>
      <c r="D71" s="2" t="s">
        <v>2</v>
      </c>
      <c r="E71" s="2" t="s">
        <v>3</v>
      </c>
      <c r="F71" s="2" t="s">
        <v>7</v>
      </c>
      <c r="G71" s="2" t="s">
        <v>8</v>
      </c>
      <c r="H71" s="2" t="s">
        <v>4</v>
      </c>
      <c r="I71" s="2" t="s">
        <v>5</v>
      </c>
    </row>
    <row r="72" spans="1:11" ht="36" x14ac:dyDescent="0.25">
      <c r="A72" s="3">
        <v>1</v>
      </c>
      <c r="B72" s="19" t="s">
        <v>666</v>
      </c>
      <c r="C72" s="20" t="s">
        <v>657</v>
      </c>
      <c r="D72" s="3" t="s">
        <v>688</v>
      </c>
      <c r="E72" s="3" t="s">
        <v>24</v>
      </c>
      <c r="F72" s="21">
        <v>41606</v>
      </c>
      <c r="G72" s="3" t="s">
        <v>668</v>
      </c>
      <c r="H72" s="13">
        <v>25115000</v>
      </c>
      <c r="I72" s="13">
        <v>32064811.010000002</v>
      </c>
    </row>
    <row r="73" spans="1:11" x14ac:dyDescent="0.25">
      <c r="A73" s="42" t="s">
        <v>706</v>
      </c>
      <c r="B73" s="43"/>
      <c r="C73" s="43"/>
      <c r="D73" s="43"/>
      <c r="E73" s="43"/>
      <c r="F73" s="43"/>
      <c r="G73" s="43"/>
      <c r="H73" s="44"/>
      <c r="I73" s="13">
        <v>9239706.4000000004</v>
      </c>
    </row>
    <row r="74" spans="1:11" ht="7.5" customHeight="1" x14ac:dyDescent="0.25"/>
    <row r="75" spans="1:11" x14ac:dyDescent="0.25">
      <c r="A75" s="46" t="s">
        <v>20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63.75" customHeight="1" x14ac:dyDescent="0.25">
      <c r="A76" s="4" t="s">
        <v>0</v>
      </c>
      <c r="B76" s="5" t="s">
        <v>10</v>
      </c>
      <c r="C76" s="5" t="s">
        <v>9</v>
      </c>
      <c r="D76" s="5" t="s">
        <v>13</v>
      </c>
      <c r="E76" s="5" t="s">
        <v>12</v>
      </c>
      <c r="F76" s="5" t="s">
        <v>11</v>
      </c>
      <c r="G76" s="5" t="s">
        <v>18</v>
      </c>
      <c r="H76" s="5" t="s">
        <v>14</v>
      </c>
      <c r="I76" s="5" t="s">
        <v>15</v>
      </c>
      <c r="J76" s="5" t="s">
        <v>16</v>
      </c>
      <c r="K76" s="5" t="s">
        <v>17</v>
      </c>
    </row>
    <row r="77" spans="1:11" ht="144" x14ac:dyDescent="0.25">
      <c r="A77" s="3">
        <v>1</v>
      </c>
      <c r="B77" s="14" t="s">
        <v>39</v>
      </c>
      <c r="C77" s="15" t="str">
        <f>"MVEP-2/2013-5-2KOM"</f>
        <v>MVEP-2/2013-5-2KOM</v>
      </c>
      <c r="D77" s="15" t="str">
        <f t="shared" ref="D77:D88" si="3">CONCATENATE("1. Zajednica ponuditelja: ",CHAR(10),"    HYPO ALPE-ADRIA-LEASING D.O.O.",CHAR(10),"    UNICREDIT LEASING CROATIA D.O.O.",CHAR(10),"    IMPULS-LEASING D.O.O.",CHAR(10),"    OTP LEASING D.D.",CHAR(10),"    ERSTE &amp; STEIERMARKISCHE S-LEASING D.O.O.")</f>
        <v>1. Zajednica ponuditelja: 
    HYPO ALPE-ADRIA-LEASING D.O.O.
    UNICREDIT LEASING CROATIA D.O.O.
    IMPULS-LEASING D.O.O.
    OTP LEASING D.D.
    ERSTE &amp; STEIERMARKISCHE S-LEASING D.O.O.</v>
      </c>
      <c r="E77" s="16">
        <v>41711</v>
      </c>
      <c r="F77" s="16">
        <v>42807</v>
      </c>
      <c r="G77" s="13">
        <v>498336.3</v>
      </c>
      <c r="H77" s="16">
        <v>42807</v>
      </c>
      <c r="I77" s="13">
        <v>273424.75</v>
      </c>
      <c r="J77" s="13">
        <f>I77*1.25</f>
        <v>341780.9375</v>
      </c>
      <c r="K77" s="6"/>
    </row>
    <row r="78" spans="1:11" ht="144" x14ac:dyDescent="0.25">
      <c r="A78" s="3">
        <v>2</v>
      </c>
      <c r="B78" s="14" t="s">
        <v>44</v>
      </c>
      <c r="C78" s="15" t="str">
        <f>"MFINPU-2/2013-5-2KOM"</f>
        <v>MFINPU-2/2013-5-2KOM</v>
      </c>
      <c r="D78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78" s="16">
        <v>41704</v>
      </c>
      <c r="F78" s="16">
        <v>43530</v>
      </c>
      <c r="G78" s="13">
        <v>216697.5</v>
      </c>
      <c r="H78" s="16">
        <v>43530</v>
      </c>
      <c r="I78" s="13">
        <v>77023.78</v>
      </c>
      <c r="J78" s="13">
        <f t="shared" ref="J78:J88" si="4">I78*1.25</f>
        <v>96279.725000000006</v>
      </c>
      <c r="K78" s="6"/>
    </row>
    <row r="79" spans="1:11" ht="144" x14ac:dyDescent="0.25">
      <c r="A79" s="3">
        <v>3</v>
      </c>
      <c r="B79" s="14" t="s">
        <v>33</v>
      </c>
      <c r="C79" s="15" t="str">
        <f>"MFINCU-2/2013-5-2KOM"</f>
        <v>MFINCU-2/2013-5-2KOM</v>
      </c>
      <c r="D79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79" s="16">
        <v>41696</v>
      </c>
      <c r="F79" s="16">
        <v>43522</v>
      </c>
      <c r="G79" s="13">
        <v>499969.8</v>
      </c>
      <c r="H79" s="16">
        <v>43522</v>
      </c>
      <c r="I79" s="13">
        <v>126576.24</v>
      </c>
      <c r="J79" s="13">
        <f t="shared" si="4"/>
        <v>158220.30000000002</v>
      </c>
      <c r="K79" s="6"/>
    </row>
    <row r="80" spans="1:11" ht="144" x14ac:dyDescent="0.25">
      <c r="A80" s="3">
        <v>4</v>
      </c>
      <c r="B80" s="14" t="s">
        <v>36</v>
      </c>
      <c r="C80" s="15" t="str">
        <f>"MIZ-2/2013-5-1KOM"</f>
        <v>MIZ-2/2013-5-1KOM</v>
      </c>
      <c r="D80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0" s="16">
        <v>41694</v>
      </c>
      <c r="F80" s="16">
        <v>43520</v>
      </c>
      <c r="G80" s="13">
        <v>111973.2</v>
      </c>
      <c r="H80" s="16">
        <v>43520</v>
      </c>
      <c r="I80" s="13">
        <v>22751.51</v>
      </c>
      <c r="J80" s="13">
        <f t="shared" si="4"/>
        <v>28439.387499999997</v>
      </c>
      <c r="K80" s="6"/>
    </row>
    <row r="81" spans="1:11" ht="144" x14ac:dyDescent="0.25">
      <c r="A81" s="3">
        <v>5</v>
      </c>
      <c r="B81" s="14" t="s">
        <v>108</v>
      </c>
      <c r="C81" s="15" t="str">
        <f>"HZZO-2/2013-5-4KOM"</f>
        <v>HZZO-2/2013-5-4KOM</v>
      </c>
      <c r="D81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1" s="16">
        <v>41690</v>
      </c>
      <c r="F81" s="16">
        <v>43516</v>
      </c>
      <c r="G81" s="13">
        <v>623308.5</v>
      </c>
      <c r="H81" s="16">
        <v>43516</v>
      </c>
      <c r="I81" s="47">
        <v>160528.79</v>
      </c>
      <c r="J81" s="47">
        <f t="shared" si="4"/>
        <v>200660.98750000002</v>
      </c>
      <c r="K81" s="6"/>
    </row>
    <row r="82" spans="1:11" ht="144" x14ac:dyDescent="0.25">
      <c r="A82" s="3">
        <v>6</v>
      </c>
      <c r="B82" s="14" t="s">
        <v>53</v>
      </c>
      <c r="C82" s="15" t="str">
        <f>"MB-2/2013-5-1KOM"</f>
        <v>MB-2/2013-5-1KOM</v>
      </c>
      <c r="D82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2" s="16">
        <v>41690</v>
      </c>
      <c r="F82" s="16">
        <v>43516</v>
      </c>
      <c r="G82" s="13">
        <v>131265.25</v>
      </c>
      <c r="H82" s="16">
        <v>43516</v>
      </c>
      <c r="I82" s="13">
        <v>26671.3</v>
      </c>
      <c r="J82" s="13">
        <f t="shared" si="4"/>
        <v>33339.125</v>
      </c>
      <c r="K82" s="6"/>
    </row>
    <row r="83" spans="1:11" ht="144" x14ac:dyDescent="0.25">
      <c r="A83" s="3">
        <v>7</v>
      </c>
      <c r="B83" s="14" t="s">
        <v>28</v>
      </c>
      <c r="C83" s="15" t="str">
        <f>"MGPU-2/2013-5-1KOM"</f>
        <v>MGPU-2/2013-5-1KOM</v>
      </c>
      <c r="D83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3" s="16">
        <v>41683</v>
      </c>
      <c r="F83" s="16">
        <v>43509</v>
      </c>
      <c r="G83" s="13">
        <v>111973.5</v>
      </c>
      <c r="H83" s="16">
        <v>43509</v>
      </c>
      <c r="I83" s="13">
        <v>22744.95</v>
      </c>
      <c r="J83" s="13">
        <f t="shared" si="4"/>
        <v>28431.1875</v>
      </c>
      <c r="K83" s="6"/>
    </row>
    <row r="84" spans="1:11" ht="144" x14ac:dyDescent="0.25">
      <c r="A84" s="3">
        <v>8</v>
      </c>
      <c r="B84" s="14" t="s">
        <v>35</v>
      </c>
      <c r="C84" s="15" t="str">
        <f>"DGU-2/2013-5-1KOM"</f>
        <v>DGU-2/2013-5-1KOM</v>
      </c>
      <c r="D84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4" s="16">
        <v>41683</v>
      </c>
      <c r="F84" s="16">
        <v>43509</v>
      </c>
      <c r="G84" s="13">
        <v>104724</v>
      </c>
      <c r="H84" s="16">
        <v>43509</v>
      </c>
      <c r="I84" s="13">
        <v>39090.26</v>
      </c>
      <c r="J84" s="13">
        <f t="shared" si="4"/>
        <v>48862.825000000004</v>
      </c>
      <c r="K84" s="6"/>
    </row>
    <row r="85" spans="1:11" ht="144" x14ac:dyDescent="0.25">
      <c r="A85" s="3">
        <v>9</v>
      </c>
      <c r="B85" s="14" t="s">
        <v>62</v>
      </c>
      <c r="C85" s="15" t="str">
        <f>"MSPM-2/2013-5-16KOM"</f>
        <v>MSPM-2/2013-5-16KOM</v>
      </c>
      <c r="D85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5" s="16">
        <v>41683</v>
      </c>
      <c r="F85" s="16">
        <v>43509</v>
      </c>
      <c r="G85" s="13">
        <v>2775078</v>
      </c>
      <c r="H85" s="16">
        <v>43509</v>
      </c>
      <c r="I85" s="13">
        <v>570492.12</v>
      </c>
      <c r="J85" s="13">
        <f t="shared" si="4"/>
        <v>713115.15</v>
      </c>
      <c r="K85" s="6"/>
    </row>
    <row r="86" spans="1:11" ht="144" x14ac:dyDescent="0.25">
      <c r="A86" s="3">
        <v>10</v>
      </c>
      <c r="B86" s="14" t="s">
        <v>41</v>
      </c>
      <c r="C86" s="15" t="str">
        <f>"MPRAVO-2/2013-5-69KOM"</f>
        <v>MPRAVO-2/2013-5-69KOM</v>
      </c>
      <c r="D86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6" s="16">
        <v>41674</v>
      </c>
      <c r="F86" s="16">
        <v>43500</v>
      </c>
      <c r="G86" s="13">
        <v>24577461</v>
      </c>
      <c r="H86" s="16">
        <v>43500</v>
      </c>
      <c r="I86" s="13">
        <v>7520807.96</v>
      </c>
      <c r="J86" s="13">
        <f t="shared" si="4"/>
        <v>9401009.9499999993</v>
      </c>
      <c r="K86" s="6"/>
    </row>
    <row r="87" spans="1:11" ht="144" x14ac:dyDescent="0.25">
      <c r="A87" s="3">
        <v>11</v>
      </c>
      <c r="B87" s="14" t="s">
        <v>61</v>
      </c>
      <c r="C87" s="15" t="str">
        <f>"DZM-2/2013-5-5KOM"</f>
        <v>DZM-2/2013-5-5KOM</v>
      </c>
      <c r="D87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7" s="16">
        <v>41666</v>
      </c>
      <c r="F87" s="16">
        <v>43492</v>
      </c>
      <c r="G87" s="13">
        <v>666156.5</v>
      </c>
      <c r="H87" s="16">
        <v>43492</v>
      </c>
      <c r="I87" s="13">
        <v>137662.17000000001</v>
      </c>
      <c r="J87" s="13">
        <f t="shared" si="4"/>
        <v>172077.71250000002</v>
      </c>
      <c r="K87" s="6"/>
    </row>
    <row r="88" spans="1:11" ht="144" x14ac:dyDescent="0.25">
      <c r="A88" s="3">
        <v>12</v>
      </c>
      <c r="B88" s="14" t="s">
        <v>32</v>
      </c>
      <c r="C88" s="15" t="str">
        <f>"DHMZ-2/2013-5-6KOM"</f>
        <v>DHMZ-2/2013-5-6KOM</v>
      </c>
      <c r="D88" s="15" t="str">
        <f t="shared" si="3"/>
        <v>1. Zajednica ponuditelja: 
    HYPO ALPE-ADRIA-LEASING D.O.O.
    UNICREDIT LEASING CROATIA D.O.O.
    IMPULS-LEASING D.O.O.
    OTP LEASING D.D.
    ERSTE &amp; STEIERMARKISCHE S-LEASING D.O.O.</v>
      </c>
      <c r="E88" s="16">
        <v>41663</v>
      </c>
      <c r="F88" s="16">
        <v>43489</v>
      </c>
      <c r="G88" s="13">
        <v>1315962</v>
      </c>
      <c r="H88" s="16">
        <v>43489</v>
      </c>
      <c r="I88" s="13">
        <v>261932.57</v>
      </c>
      <c r="J88" s="13">
        <f t="shared" si="4"/>
        <v>327415.71250000002</v>
      </c>
      <c r="K88" s="6"/>
    </row>
    <row r="90" spans="1:11" ht="42" customHeight="1" x14ac:dyDescent="0.25">
      <c r="A90" s="1" t="s">
        <v>0</v>
      </c>
      <c r="B90" s="2" t="s">
        <v>1</v>
      </c>
      <c r="C90" s="2" t="s">
        <v>6</v>
      </c>
      <c r="D90" s="2" t="s">
        <v>2</v>
      </c>
      <c r="E90" s="2" t="s">
        <v>3</v>
      </c>
      <c r="F90" s="2" t="s">
        <v>7</v>
      </c>
      <c r="G90" s="2" t="s">
        <v>8</v>
      </c>
      <c r="H90" s="2" t="s">
        <v>4</v>
      </c>
      <c r="I90" s="2" t="s">
        <v>5</v>
      </c>
    </row>
    <row r="91" spans="1:11" ht="36" x14ac:dyDescent="0.25">
      <c r="A91" s="3">
        <v>1</v>
      </c>
      <c r="B91" s="19" t="s">
        <v>666</v>
      </c>
      <c r="C91" s="20" t="s">
        <v>658</v>
      </c>
      <c r="D91" s="3" t="s">
        <v>688</v>
      </c>
      <c r="E91" s="3" t="s">
        <v>24</v>
      </c>
      <c r="F91" s="21">
        <v>41568</v>
      </c>
      <c r="G91" s="3" t="s">
        <v>668</v>
      </c>
      <c r="H91" s="13">
        <v>34735000</v>
      </c>
      <c r="I91" s="13">
        <v>50499596.880000003</v>
      </c>
    </row>
    <row r="92" spans="1:11" x14ac:dyDescent="0.25">
      <c r="A92" s="42" t="s">
        <v>706</v>
      </c>
      <c r="B92" s="43"/>
      <c r="C92" s="43"/>
      <c r="D92" s="43"/>
      <c r="E92" s="43"/>
      <c r="F92" s="43"/>
      <c r="G92" s="43"/>
      <c r="H92" s="44"/>
      <c r="I92" s="13">
        <v>9892663.1400000006</v>
      </c>
    </row>
    <row r="93" spans="1:11" ht="7.5" customHeight="1" x14ac:dyDescent="0.25"/>
    <row r="94" spans="1:11" x14ac:dyDescent="0.25">
      <c r="A94" s="46" t="s">
        <v>20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63.75" customHeight="1" x14ac:dyDescent="0.25">
      <c r="A95" s="4" t="s">
        <v>0</v>
      </c>
      <c r="B95" s="5" t="s">
        <v>10</v>
      </c>
      <c r="C95" s="5" t="s">
        <v>9</v>
      </c>
      <c r="D95" s="5" t="s">
        <v>13</v>
      </c>
      <c r="E95" s="5" t="s">
        <v>12</v>
      </c>
      <c r="F95" s="5" t="s">
        <v>11</v>
      </c>
      <c r="G95" s="5" t="s">
        <v>18</v>
      </c>
      <c r="H95" s="5" t="s">
        <v>14</v>
      </c>
      <c r="I95" s="5" t="s">
        <v>15</v>
      </c>
      <c r="J95" s="5" t="s">
        <v>16</v>
      </c>
      <c r="K95" s="5" t="s">
        <v>17</v>
      </c>
    </row>
    <row r="96" spans="1:11" ht="24" x14ac:dyDescent="0.25">
      <c r="A96" s="3">
        <v>1</v>
      </c>
      <c r="B96" s="14" t="s">
        <v>27</v>
      </c>
      <c r="C96" s="15" t="str">
        <f>"MUP-2/2013-6-159KOMKOM"</f>
        <v>MUP-2/2013-6-159KOMKOM</v>
      </c>
      <c r="D96" s="15" t="str">
        <f>CONCATENATE("PORSCHE LEASING D.O.O.")</f>
        <v>PORSCHE LEASING D.O.O.</v>
      </c>
      <c r="E96" s="16">
        <v>41730</v>
      </c>
      <c r="F96" s="16">
        <v>43556</v>
      </c>
      <c r="G96" s="13">
        <v>49655785.5</v>
      </c>
      <c r="H96" s="16">
        <v>43556</v>
      </c>
      <c r="I96" s="13">
        <v>9820866.8699999992</v>
      </c>
      <c r="J96" s="13">
        <f>I96*1.25</f>
        <v>12276083.587499999</v>
      </c>
      <c r="K96" s="6"/>
    </row>
    <row r="97" spans="1:11" ht="36" x14ac:dyDescent="0.25">
      <c r="A97" s="3">
        <v>2</v>
      </c>
      <c r="B97" s="14" t="s">
        <v>34</v>
      </c>
      <c r="C97" s="15" t="str">
        <f>"UZOP-2/2013-6-2KOM"</f>
        <v>UZOP-2/2013-6-2KOM</v>
      </c>
      <c r="D97" s="15" t="str">
        <f>CONCATENATE("PORSCHE LEASING D.O.O.")</f>
        <v>PORSCHE LEASING D.O.O.</v>
      </c>
      <c r="E97" s="16">
        <v>41662</v>
      </c>
      <c r="F97" s="16">
        <v>43488</v>
      </c>
      <c r="G97" s="13">
        <v>179343</v>
      </c>
      <c r="H97" s="16">
        <v>43488</v>
      </c>
      <c r="I97" s="13">
        <v>71796.570000000007</v>
      </c>
      <c r="J97" s="13">
        <f>I97*1.25</f>
        <v>89745.712500000009</v>
      </c>
      <c r="K97" s="6"/>
    </row>
    <row r="99" spans="1:11" x14ac:dyDescent="0.25">
      <c r="B99" s="41" t="s">
        <v>707</v>
      </c>
      <c r="C99" s="41"/>
      <c r="D99" s="41"/>
      <c r="E99" s="41"/>
      <c r="F99" s="41"/>
      <c r="G99" s="41"/>
      <c r="H99" s="41"/>
      <c r="I99" s="41"/>
      <c r="J99" s="41"/>
      <c r="K99" s="41"/>
    </row>
  </sheetData>
  <sheetProtection algorithmName="SHA-512" hashValue="U45yAQg59IzI3j3gbYFi8wYdDisGZy8T1KUacLztWBoJpo9lQss3Z9rh1XMNSjS7THlK2JnYcZ5VwgMGgfdB+g==" saltValue="Q3oR6bSeGetWVqrnh8nCyA==" spinCount="100000" sheet="1" objects="1" scenarios="1"/>
  <mergeCells count="16">
    <mergeCell ref="B99:K99"/>
    <mergeCell ref="A20:H20"/>
    <mergeCell ref="A1:I1"/>
    <mergeCell ref="A4:H4"/>
    <mergeCell ref="A6:K6"/>
    <mergeCell ref="A12:H12"/>
    <mergeCell ref="A14:K14"/>
    <mergeCell ref="A75:K75"/>
    <mergeCell ref="A92:H92"/>
    <mergeCell ref="A94:K94"/>
    <mergeCell ref="A22:K22"/>
    <mergeCell ref="A30:H30"/>
    <mergeCell ref="A32:K32"/>
    <mergeCell ref="A64:H64"/>
    <mergeCell ref="A66:K66"/>
    <mergeCell ref="A73:H73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285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117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669</v>
      </c>
      <c r="C3" s="3" t="s">
        <v>118</v>
      </c>
      <c r="D3" s="3" t="s">
        <v>696</v>
      </c>
      <c r="E3" s="3" t="s">
        <v>24</v>
      </c>
      <c r="F3" s="21">
        <v>41837</v>
      </c>
      <c r="G3" s="3" t="s">
        <v>670</v>
      </c>
      <c r="H3" s="13">
        <v>15000000</v>
      </c>
      <c r="I3" s="13">
        <v>13722146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5214127.12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30</v>
      </c>
      <c r="C8" s="15" t="str">
        <f>"DUOSZ - 13/2013-1"</f>
        <v>DUOSZ - 13/2013-1</v>
      </c>
      <c r="D8" s="15" t="str">
        <f t="shared" ref="D8:D71" si="0">CONCATENATE("VULKAL D.O.O.")</f>
        <v>VULKAL D.O.O.</v>
      </c>
      <c r="E8" s="16">
        <v>41758</v>
      </c>
      <c r="F8" s="16"/>
      <c r="G8" s="13">
        <v>31050</v>
      </c>
      <c r="H8" s="16"/>
      <c r="I8" s="13">
        <v>31050</v>
      </c>
      <c r="J8" s="13">
        <f>I8*1.25</f>
        <v>38812.5</v>
      </c>
      <c r="K8" s="6"/>
    </row>
    <row r="9" spans="1:11" ht="24" x14ac:dyDescent="0.25">
      <c r="A9" s="3">
        <v>2</v>
      </c>
      <c r="B9" s="14" t="s">
        <v>28</v>
      </c>
      <c r="C9" s="15" t="str">
        <f>"MGPU 13/2013-1"</f>
        <v>MGPU 13/2013-1</v>
      </c>
      <c r="D9" s="15" t="str">
        <f t="shared" si="0"/>
        <v>VULKAL D.O.O.</v>
      </c>
      <c r="E9" s="16">
        <v>41995</v>
      </c>
      <c r="F9" s="16">
        <v>42369</v>
      </c>
      <c r="G9" s="13">
        <v>168795</v>
      </c>
      <c r="H9" s="16">
        <v>42369</v>
      </c>
      <c r="I9" s="13">
        <v>55653.5</v>
      </c>
      <c r="J9" s="13">
        <f t="shared" ref="J9:J72" si="1">I9*1.25</f>
        <v>69566.875</v>
      </c>
      <c r="K9" s="6"/>
    </row>
    <row r="10" spans="1:11" ht="36" x14ac:dyDescent="0.25">
      <c r="A10" s="3">
        <v>3</v>
      </c>
      <c r="B10" s="14" t="s">
        <v>34</v>
      </c>
      <c r="C10" s="15" t="str">
        <f>"NAR 78/2015"</f>
        <v>NAR 78/2015</v>
      </c>
      <c r="D10" s="15" t="str">
        <f t="shared" si="0"/>
        <v>VULKAL D.O.O.</v>
      </c>
      <c r="E10" s="16">
        <v>42060</v>
      </c>
      <c r="F10" s="16"/>
      <c r="G10" s="13">
        <v>37688</v>
      </c>
      <c r="H10" s="16"/>
      <c r="I10" s="13">
        <v>37688</v>
      </c>
      <c r="J10" s="13">
        <f t="shared" si="1"/>
        <v>47110</v>
      </c>
      <c r="K10" s="6"/>
    </row>
    <row r="11" spans="1:11" ht="36" x14ac:dyDescent="0.25">
      <c r="A11" s="3">
        <v>4</v>
      </c>
      <c r="B11" s="14" t="s">
        <v>34</v>
      </c>
      <c r="C11" s="15" t="str">
        <f>"NAR 364/2015"</f>
        <v>NAR 364/2015</v>
      </c>
      <c r="D11" s="15" t="str">
        <f t="shared" si="0"/>
        <v>VULKAL D.O.O.</v>
      </c>
      <c r="E11" s="16">
        <v>42290</v>
      </c>
      <c r="F11" s="16"/>
      <c r="G11" s="13">
        <v>56960</v>
      </c>
      <c r="H11" s="16"/>
      <c r="I11" s="13">
        <v>56960</v>
      </c>
      <c r="J11" s="13">
        <f t="shared" si="1"/>
        <v>71200</v>
      </c>
      <c r="K11" s="6"/>
    </row>
    <row r="12" spans="1:11" ht="24" x14ac:dyDescent="0.25">
      <c r="A12" s="3">
        <v>5</v>
      </c>
      <c r="B12" s="14" t="s">
        <v>25</v>
      </c>
      <c r="C12" s="15" t="str">
        <f>"406-01/14-01/0130"</f>
        <v>406-01/14-01/0130</v>
      </c>
      <c r="D12" s="15" t="str">
        <f t="shared" si="0"/>
        <v>VULKAL D.O.O.</v>
      </c>
      <c r="E12" s="16">
        <v>41954</v>
      </c>
      <c r="F12" s="16"/>
      <c r="G12" s="13">
        <v>29396</v>
      </c>
      <c r="H12" s="16"/>
      <c r="I12" s="13">
        <v>18812.75</v>
      </c>
      <c r="J12" s="13">
        <f t="shared" si="1"/>
        <v>23515.9375</v>
      </c>
      <c r="K12" s="6"/>
    </row>
    <row r="13" spans="1:11" ht="24" x14ac:dyDescent="0.25">
      <c r="A13" s="3">
        <v>6</v>
      </c>
      <c r="B13" s="14" t="s">
        <v>25</v>
      </c>
      <c r="C13" s="15" t="str">
        <f>"406-01/14-01/0130-A"</f>
        <v>406-01/14-01/0130-A</v>
      </c>
      <c r="D13" s="15" t="str">
        <f t="shared" si="0"/>
        <v>VULKAL D.O.O.</v>
      </c>
      <c r="E13" s="16">
        <v>42012</v>
      </c>
      <c r="F13" s="16"/>
      <c r="G13" s="13">
        <v>18716</v>
      </c>
      <c r="H13" s="16"/>
      <c r="I13" s="13">
        <v>17316</v>
      </c>
      <c r="J13" s="13">
        <f t="shared" si="1"/>
        <v>21645</v>
      </c>
      <c r="K13" s="6"/>
    </row>
    <row r="14" spans="1:11" x14ac:dyDescent="0.25">
      <c r="A14" s="3">
        <v>7</v>
      </c>
      <c r="B14" s="14" t="s">
        <v>41</v>
      </c>
      <c r="C14" s="15" t="str">
        <f>"NAR1657/15"</f>
        <v>NAR1657/15</v>
      </c>
      <c r="D14" s="15" t="str">
        <f t="shared" si="0"/>
        <v>VULKAL D.O.O.</v>
      </c>
      <c r="E14" s="16">
        <v>42310</v>
      </c>
      <c r="F14" s="16">
        <v>42310</v>
      </c>
      <c r="G14" s="13">
        <v>380</v>
      </c>
      <c r="H14" s="16">
        <v>42310</v>
      </c>
      <c r="I14" s="13">
        <v>380</v>
      </c>
      <c r="J14" s="13">
        <f t="shared" si="1"/>
        <v>475</v>
      </c>
      <c r="K14" s="6"/>
    </row>
    <row r="15" spans="1:11" x14ac:dyDescent="0.25">
      <c r="A15" s="3">
        <v>8</v>
      </c>
      <c r="B15" s="14" t="s">
        <v>41</v>
      </c>
      <c r="C15" s="15" t="str">
        <f>"NAR 1464/15"</f>
        <v>NAR 1464/15</v>
      </c>
      <c r="D15" s="15" t="str">
        <f t="shared" si="0"/>
        <v>VULKAL D.O.O.</v>
      </c>
      <c r="E15" s="16">
        <v>42279</v>
      </c>
      <c r="F15" s="16">
        <v>42279</v>
      </c>
      <c r="G15" s="13">
        <v>6290</v>
      </c>
      <c r="H15" s="16">
        <v>42279</v>
      </c>
      <c r="I15" s="13">
        <v>6290</v>
      </c>
      <c r="J15" s="13">
        <f t="shared" si="1"/>
        <v>7862.5</v>
      </c>
      <c r="K15" s="6"/>
    </row>
    <row r="16" spans="1:11" x14ac:dyDescent="0.25">
      <c r="A16" s="3">
        <v>9</v>
      </c>
      <c r="B16" s="14" t="s">
        <v>41</v>
      </c>
      <c r="C16" s="15" t="str">
        <f>"NAR 1002/15"</f>
        <v>NAR 1002/15</v>
      </c>
      <c r="D16" s="15" t="str">
        <f t="shared" si="0"/>
        <v>VULKAL D.O.O.</v>
      </c>
      <c r="E16" s="16">
        <v>42174</v>
      </c>
      <c r="F16" s="16">
        <v>42174</v>
      </c>
      <c r="G16" s="13">
        <v>190.08</v>
      </c>
      <c r="H16" s="16">
        <v>42174</v>
      </c>
      <c r="I16" s="13">
        <v>190.08</v>
      </c>
      <c r="J16" s="13">
        <f t="shared" si="1"/>
        <v>237.60000000000002</v>
      </c>
      <c r="K16" s="6"/>
    </row>
    <row r="17" spans="1:11" x14ac:dyDescent="0.25">
      <c r="A17" s="3">
        <v>10</v>
      </c>
      <c r="B17" s="14" t="s">
        <v>41</v>
      </c>
      <c r="C17" s="15" t="str">
        <f>"NAR 990/15"</f>
        <v>NAR 990/15</v>
      </c>
      <c r="D17" s="15" t="str">
        <f t="shared" si="0"/>
        <v>VULKAL D.O.O.</v>
      </c>
      <c r="E17" s="16">
        <v>42173</v>
      </c>
      <c r="F17" s="16">
        <v>42173</v>
      </c>
      <c r="G17" s="13">
        <v>4140</v>
      </c>
      <c r="H17" s="16">
        <v>42173</v>
      </c>
      <c r="I17" s="13">
        <v>4140</v>
      </c>
      <c r="J17" s="13">
        <f t="shared" si="1"/>
        <v>5175</v>
      </c>
      <c r="K17" s="6"/>
    </row>
    <row r="18" spans="1:11" x14ac:dyDescent="0.25">
      <c r="A18" s="3">
        <v>11</v>
      </c>
      <c r="B18" s="14" t="s">
        <v>41</v>
      </c>
      <c r="C18" s="15" t="str">
        <f>"NAR 960/15"</f>
        <v>NAR 960/15</v>
      </c>
      <c r="D18" s="15" t="str">
        <f t="shared" si="0"/>
        <v>VULKAL D.O.O.</v>
      </c>
      <c r="E18" s="16">
        <v>42167</v>
      </c>
      <c r="F18" s="16">
        <v>42167</v>
      </c>
      <c r="G18" s="13">
        <v>9616</v>
      </c>
      <c r="H18" s="16">
        <v>42167</v>
      </c>
      <c r="I18" s="13">
        <v>9616</v>
      </c>
      <c r="J18" s="13">
        <f t="shared" si="1"/>
        <v>12020</v>
      </c>
      <c r="K18" s="6"/>
    </row>
    <row r="19" spans="1:11" x14ac:dyDescent="0.25">
      <c r="A19" s="3">
        <v>12</v>
      </c>
      <c r="B19" s="14" t="s">
        <v>41</v>
      </c>
      <c r="C19" s="15" t="str">
        <f>"NAR 820/15"</f>
        <v>NAR 820/15</v>
      </c>
      <c r="D19" s="15" t="str">
        <f t="shared" si="0"/>
        <v>VULKAL D.O.O.</v>
      </c>
      <c r="E19" s="16">
        <v>42143</v>
      </c>
      <c r="F19" s="16">
        <v>42143</v>
      </c>
      <c r="G19" s="13">
        <v>3264</v>
      </c>
      <c r="H19" s="16">
        <v>42143</v>
      </c>
      <c r="I19" s="13">
        <v>3264</v>
      </c>
      <c r="J19" s="13">
        <f t="shared" si="1"/>
        <v>4080</v>
      </c>
      <c r="K19" s="6"/>
    </row>
    <row r="20" spans="1:11" x14ac:dyDescent="0.25">
      <c r="A20" s="3">
        <v>13</v>
      </c>
      <c r="B20" s="14" t="s">
        <v>41</v>
      </c>
      <c r="C20" s="15" t="str">
        <f>"NAR 637/15"</f>
        <v>NAR 637/15</v>
      </c>
      <c r="D20" s="15" t="str">
        <f t="shared" si="0"/>
        <v>VULKAL D.O.O.</v>
      </c>
      <c r="E20" s="16">
        <v>42119</v>
      </c>
      <c r="F20" s="16">
        <v>42119</v>
      </c>
      <c r="G20" s="13">
        <v>380</v>
      </c>
      <c r="H20" s="16">
        <v>42119</v>
      </c>
      <c r="I20" s="13">
        <v>380</v>
      </c>
      <c r="J20" s="13">
        <f t="shared" si="1"/>
        <v>475</v>
      </c>
      <c r="K20" s="6"/>
    </row>
    <row r="21" spans="1:11" x14ac:dyDescent="0.25">
      <c r="A21" s="3">
        <v>14</v>
      </c>
      <c r="B21" s="14" t="s">
        <v>41</v>
      </c>
      <c r="C21" s="15" t="str">
        <f>"NAR 515/15"</f>
        <v>NAR 515/15</v>
      </c>
      <c r="D21" s="15" t="str">
        <f t="shared" si="0"/>
        <v>VULKAL D.O.O.</v>
      </c>
      <c r="E21" s="16">
        <v>42097</v>
      </c>
      <c r="F21" s="16">
        <v>42097</v>
      </c>
      <c r="G21" s="13">
        <v>6172</v>
      </c>
      <c r="H21" s="16">
        <v>42097</v>
      </c>
      <c r="I21" s="13">
        <v>6172</v>
      </c>
      <c r="J21" s="13">
        <f t="shared" si="1"/>
        <v>7715</v>
      </c>
      <c r="K21" s="6"/>
    </row>
    <row r="22" spans="1:11" x14ac:dyDescent="0.25">
      <c r="A22" s="3">
        <v>15</v>
      </c>
      <c r="B22" s="14" t="s">
        <v>41</v>
      </c>
      <c r="C22" s="15" t="str">
        <f>"NAR 578/15"</f>
        <v>NAR 578/15</v>
      </c>
      <c r="D22" s="15" t="str">
        <f t="shared" si="0"/>
        <v>VULKAL D.O.O.</v>
      </c>
      <c r="E22" s="16">
        <v>42109</v>
      </c>
      <c r="F22" s="16">
        <v>42109</v>
      </c>
      <c r="G22" s="13">
        <v>1330</v>
      </c>
      <c r="H22" s="16">
        <v>42109</v>
      </c>
      <c r="I22" s="13">
        <v>1330</v>
      </c>
      <c r="J22" s="13">
        <f t="shared" si="1"/>
        <v>1662.5</v>
      </c>
      <c r="K22" s="6"/>
    </row>
    <row r="23" spans="1:11" x14ac:dyDescent="0.25">
      <c r="A23" s="3">
        <v>16</v>
      </c>
      <c r="B23" s="14" t="s">
        <v>41</v>
      </c>
      <c r="C23" s="15" t="str">
        <f>"NAR 1838/15"</f>
        <v>NAR 1838/15</v>
      </c>
      <c r="D23" s="15" t="str">
        <f t="shared" si="0"/>
        <v>VULKAL D.O.O.</v>
      </c>
      <c r="E23" s="16">
        <v>42347</v>
      </c>
      <c r="F23" s="16">
        <v>42347</v>
      </c>
      <c r="G23" s="13">
        <v>745</v>
      </c>
      <c r="H23" s="16">
        <v>42347</v>
      </c>
      <c r="I23" s="13">
        <v>745</v>
      </c>
      <c r="J23" s="13">
        <f t="shared" si="1"/>
        <v>931.25</v>
      </c>
      <c r="K23" s="6"/>
    </row>
    <row r="24" spans="1:11" ht="36" x14ac:dyDescent="0.25">
      <c r="A24" s="3">
        <v>17</v>
      </c>
      <c r="B24" s="14" t="s">
        <v>59</v>
      </c>
      <c r="C24" s="15" t="str">
        <f>"000127/2015"</f>
        <v>000127/2015</v>
      </c>
      <c r="D24" s="15" t="str">
        <f t="shared" si="0"/>
        <v>VULKAL D.O.O.</v>
      </c>
      <c r="E24" s="16">
        <v>42083</v>
      </c>
      <c r="F24" s="16"/>
      <c r="G24" s="13">
        <v>190</v>
      </c>
      <c r="H24" s="16"/>
      <c r="I24" s="13">
        <v>47.5</v>
      </c>
      <c r="J24" s="13">
        <f t="shared" si="1"/>
        <v>59.375</v>
      </c>
      <c r="K24" s="6"/>
    </row>
    <row r="25" spans="1:11" ht="36" x14ac:dyDescent="0.25">
      <c r="A25" s="3">
        <v>18</v>
      </c>
      <c r="B25" s="14" t="s">
        <v>59</v>
      </c>
      <c r="C25" s="15" t="str">
        <f>"000166/2015"</f>
        <v>000166/2015</v>
      </c>
      <c r="D25" s="15" t="str">
        <f t="shared" si="0"/>
        <v>VULKAL D.O.O.</v>
      </c>
      <c r="E25" s="16">
        <v>42104</v>
      </c>
      <c r="F25" s="16"/>
      <c r="G25" s="13">
        <v>7321</v>
      </c>
      <c r="H25" s="16"/>
      <c r="I25" s="13">
        <v>7276</v>
      </c>
      <c r="J25" s="13">
        <f t="shared" si="1"/>
        <v>9095</v>
      </c>
      <c r="K25" s="6"/>
    </row>
    <row r="26" spans="1:11" ht="36" x14ac:dyDescent="0.25">
      <c r="A26" s="3">
        <v>19</v>
      </c>
      <c r="B26" s="14" t="s">
        <v>59</v>
      </c>
      <c r="C26" s="15" t="str">
        <f>"000464/2015"</f>
        <v>000464/2015</v>
      </c>
      <c r="D26" s="15" t="str">
        <f t="shared" si="0"/>
        <v>VULKAL D.O.O.</v>
      </c>
      <c r="E26" s="16">
        <v>42299</v>
      </c>
      <c r="F26" s="16"/>
      <c r="G26" s="13">
        <v>810</v>
      </c>
      <c r="H26" s="16"/>
      <c r="I26" s="13">
        <v>690</v>
      </c>
      <c r="J26" s="13">
        <f t="shared" si="1"/>
        <v>862.5</v>
      </c>
      <c r="K26" s="6"/>
    </row>
    <row r="27" spans="1:11" ht="36" x14ac:dyDescent="0.25">
      <c r="A27" s="3">
        <v>20</v>
      </c>
      <c r="B27" s="14" t="s">
        <v>59</v>
      </c>
      <c r="C27" s="15" t="str">
        <f>"000526/2015"</f>
        <v>000526/2015</v>
      </c>
      <c r="D27" s="15" t="str">
        <f t="shared" si="0"/>
        <v>VULKAL D.O.O.</v>
      </c>
      <c r="E27" s="16">
        <v>42333</v>
      </c>
      <c r="F27" s="16"/>
      <c r="G27" s="13">
        <v>3594</v>
      </c>
      <c r="H27" s="16"/>
      <c r="I27" s="13">
        <v>3594</v>
      </c>
      <c r="J27" s="13">
        <f t="shared" si="1"/>
        <v>4492.5</v>
      </c>
      <c r="K27" s="6"/>
    </row>
    <row r="28" spans="1:11" x14ac:dyDescent="0.25">
      <c r="A28" s="3">
        <v>21</v>
      </c>
      <c r="B28" s="14" t="s">
        <v>33</v>
      </c>
      <c r="C28" s="15" t="str">
        <f>"CU-G1-2015"</f>
        <v>CU-G1-2015</v>
      </c>
      <c r="D28" s="15" t="str">
        <f t="shared" si="0"/>
        <v>VULKAL D.O.O.</v>
      </c>
      <c r="E28" s="16">
        <v>42020</v>
      </c>
      <c r="F28" s="16"/>
      <c r="G28" s="13">
        <v>129366</v>
      </c>
      <c r="H28" s="16"/>
      <c r="I28" s="13">
        <v>129366</v>
      </c>
      <c r="J28" s="13">
        <f t="shared" si="1"/>
        <v>161707.5</v>
      </c>
      <c r="K28" s="6"/>
    </row>
    <row r="29" spans="1:11" ht="24" x14ac:dyDescent="0.25">
      <c r="A29" s="3">
        <v>22</v>
      </c>
      <c r="B29" s="14" t="s">
        <v>47</v>
      </c>
      <c r="C29" s="15" t="str">
        <f>"99/2015/R"</f>
        <v>99/2015/R</v>
      </c>
      <c r="D29" s="15" t="str">
        <f t="shared" si="0"/>
        <v>VULKAL D.O.O.</v>
      </c>
      <c r="E29" s="16">
        <v>42296</v>
      </c>
      <c r="F29" s="16"/>
      <c r="G29" s="13">
        <v>5278</v>
      </c>
      <c r="H29" s="16"/>
      <c r="I29" s="13">
        <v>5278</v>
      </c>
      <c r="J29" s="13">
        <f t="shared" si="1"/>
        <v>6597.5</v>
      </c>
      <c r="K29" s="6"/>
    </row>
    <row r="30" spans="1:11" ht="24" x14ac:dyDescent="0.25">
      <c r="A30" s="3">
        <v>23</v>
      </c>
      <c r="B30" s="14" t="s">
        <v>32</v>
      </c>
      <c r="C30" s="15" t="str">
        <f>"DHMZ-G1-2015"</f>
        <v>DHMZ-G1-2015</v>
      </c>
      <c r="D30" s="15" t="str">
        <f t="shared" si="0"/>
        <v>VULKAL D.O.O.</v>
      </c>
      <c r="E30" s="16">
        <v>42030</v>
      </c>
      <c r="F30" s="16">
        <v>42369</v>
      </c>
      <c r="G30" s="13">
        <v>62156.01</v>
      </c>
      <c r="H30" s="16">
        <v>42369</v>
      </c>
      <c r="I30" s="13">
        <v>62156.01</v>
      </c>
      <c r="J30" s="13">
        <f t="shared" si="1"/>
        <v>77695.012499999997</v>
      </c>
      <c r="K30" s="6"/>
    </row>
    <row r="31" spans="1:11" ht="24" x14ac:dyDescent="0.25">
      <c r="A31" s="3">
        <v>24</v>
      </c>
      <c r="B31" s="14" t="s">
        <v>45</v>
      </c>
      <c r="C31" s="15" t="str">
        <f>"13/2013-1-U1"</f>
        <v>13/2013-1-U1</v>
      </c>
      <c r="D31" s="15" t="str">
        <f t="shared" si="0"/>
        <v>VULKAL D.O.O.</v>
      </c>
      <c r="E31" s="16">
        <v>41914</v>
      </c>
      <c r="F31" s="16"/>
      <c r="G31" s="13">
        <v>79740</v>
      </c>
      <c r="H31" s="16"/>
      <c r="I31" s="13">
        <v>37151</v>
      </c>
      <c r="J31" s="13">
        <f t="shared" si="1"/>
        <v>46438.75</v>
      </c>
      <c r="K31" s="6"/>
    </row>
    <row r="32" spans="1:11" ht="24" x14ac:dyDescent="0.25">
      <c r="A32" s="3">
        <v>25</v>
      </c>
      <c r="B32" s="14" t="s">
        <v>42</v>
      </c>
      <c r="C32" s="15" t="str">
        <f>"MORH-SNUG-201-15-0016"</f>
        <v>MORH-SNUG-201-15-0016</v>
      </c>
      <c r="D32" s="15" t="str">
        <f t="shared" si="0"/>
        <v>VULKAL D.O.O.</v>
      </c>
      <c r="E32" s="16">
        <v>42138</v>
      </c>
      <c r="F32" s="16">
        <v>42369</v>
      </c>
      <c r="G32" s="13">
        <v>752887</v>
      </c>
      <c r="H32" s="16">
        <v>42369</v>
      </c>
      <c r="I32" s="13">
        <v>553280.92000000004</v>
      </c>
      <c r="J32" s="13">
        <f t="shared" si="1"/>
        <v>691601.15</v>
      </c>
      <c r="K32" s="6"/>
    </row>
    <row r="33" spans="1:11" x14ac:dyDescent="0.25">
      <c r="A33" s="3">
        <v>26</v>
      </c>
      <c r="B33" s="14" t="s">
        <v>49</v>
      </c>
      <c r="C33" s="15" t="str">
        <f>"355/2015"</f>
        <v>355/2015</v>
      </c>
      <c r="D33" s="15" t="str">
        <f t="shared" si="0"/>
        <v>VULKAL D.O.O.</v>
      </c>
      <c r="E33" s="16">
        <v>42103</v>
      </c>
      <c r="F33" s="16"/>
      <c r="G33" s="13">
        <v>12546</v>
      </c>
      <c r="H33" s="16"/>
      <c r="I33" s="13">
        <v>12546</v>
      </c>
      <c r="J33" s="13">
        <f t="shared" si="1"/>
        <v>15682.5</v>
      </c>
      <c r="K33" s="6"/>
    </row>
    <row r="34" spans="1:11" x14ac:dyDescent="0.25">
      <c r="A34" s="3">
        <v>27</v>
      </c>
      <c r="B34" s="14" t="s">
        <v>49</v>
      </c>
      <c r="C34" s="15" t="str">
        <f>"401/2015"</f>
        <v>401/2015</v>
      </c>
      <c r="D34" s="15" t="str">
        <f t="shared" si="0"/>
        <v>VULKAL D.O.O.</v>
      </c>
      <c r="E34" s="16">
        <v>42110</v>
      </c>
      <c r="F34" s="16"/>
      <c r="G34" s="13">
        <v>4100</v>
      </c>
      <c r="H34" s="16"/>
      <c r="I34" s="13">
        <v>3923</v>
      </c>
      <c r="J34" s="13">
        <f t="shared" si="1"/>
        <v>4903.75</v>
      </c>
      <c r="K34" s="6"/>
    </row>
    <row r="35" spans="1:11" x14ac:dyDescent="0.25">
      <c r="A35" s="3">
        <v>28</v>
      </c>
      <c r="B35" s="14" t="s">
        <v>49</v>
      </c>
      <c r="C35" s="15" t="str">
        <f>"1029/2015"</f>
        <v>1029/2015</v>
      </c>
      <c r="D35" s="15" t="str">
        <f t="shared" si="0"/>
        <v>VULKAL D.O.O.</v>
      </c>
      <c r="E35" s="16">
        <v>42297</v>
      </c>
      <c r="F35" s="16"/>
      <c r="G35" s="13">
        <v>250</v>
      </c>
      <c r="H35" s="16"/>
      <c r="I35" s="13">
        <v>5154</v>
      </c>
      <c r="J35" s="13">
        <f t="shared" si="1"/>
        <v>6442.5</v>
      </c>
      <c r="K35" s="6"/>
    </row>
    <row r="36" spans="1:11" ht="24" x14ac:dyDescent="0.25">
      <c r="A36" s="3">
        <v>29</v>
      </c>
      <c r="B36" s="14" t="s">
        <v>42</v>
      </c>
      <c r="C36" s="15" t="str">
        <f>"SNUG-201-15-0029"</f>
        <v>SNUG-201-15-0029</v>
      </c>
      <c r="D36" s="15" t="str">
        <f t="shared" si="0"/>
        <v>VULKAL D.O.O.</v>
      </c>
      <c r="E36" s="16">
        <v>42108</v>
      </c>
      <c r="F36" s="16">
        <v>42369</v>
      </c>
      <c r="G36" s="13">
        <v>208417</v>
      </c>
      <c r="H36" s="16">
        <v>42369</v>
      </c>
      <c r="I36" s="13">
        <v>196779.01</v>
      </c>
      <c r="J36" s="13">
        <f t="shared" si="1"/>
        <v>245973.76250000001</v>
      </c>
      <c r="K36" s="6"/>
    </row>
    <row r="37" spans="1:11" ht="24" x14ac:dyDescent="0.25">
      <c r="A37" s="3">
        <v>30</v>
      </c>
      <c r="B37" s="14" t="s">
        <v>42</v>
      </c>
      <c r="C37" s="15" t="str">
        <f>"SNUG-201-15-0055"</f>
        <v>SNUG-201-15-0055</v>
      </c>
      <c r="D37" s="15" t="str">
        <f t="shared" si="0"/>
        <v>VULKAL D.O.O.</v>
      </c>
      <c r="E37" s="16">
        <v>42303</v>
      </c>
      <c r="F37" s="16">
        <v>42369</v>
      </c>
      <c r="G37" s="13">
        <v>139597</v>
      </c>
      <c r="H37" s="16">
        <v>42369</v>
      </c>
      <c r="I37" s="13">
        <v>434503.5</v>
      </c>
      <c r="J37" s="13">
        <f t="shared" si="1"/>
        <v>543129.375</v>
      </c>
      <c r="K37" s="6"/>
    </row>
    <row r="38" spans="1:11" ht="24" x14ac:dyDescent="0.25">
      <c r="A38" s="3">
        <v>31</v>
      </c>
      <c r="B38" s="14" t="s">
        <v>42</v>
      </c>
      <c r="C38" s="15" t="str">
        <f>"SNUG-201-15-0056"</f>
        <v>SNUG-201-15-0056</v>
      </c>
      <c r="D38" s="15" t="str">
        <f t="shared" si="0"/>
        <v>VULKAL D.O.O.</v>
      </c>
      <c r="E38" s="16">
        <v>42303</v>
      </c>
      <c r="F38" s="16">
        <v>42369</v>
      </c>
      <c r="G38" s="13">
        <v>60407</v>
      </c>
      <c r="H38" s="16">
        <v>42369</v>
      </c>
      <c r="I38" s="13">
        <v>73963</v>
      </c>
      <c r="J38" s="13">
        <f t="shared" si="1"/>
        <v>92453.75</v>
      </c>
      <c r="K38" s="6"/>
    </row>
    <row r="39" spans="1:11" ht="24" x14ac:dyDescent="0.25">
      <c r="A39" s="3">
        <v>32</v>
      </c>
      <c r="B39" s="14" t="s">
        <v>42</v>
      </c>
      <c r="C39" s="15" t="str">
        <f>"SNUG-201-15-0072"</f>
        <v>SNUG-201-15-0072</v>
      </c>
      <c r="D39" s="15" t="str">
        <f t="shared" si="0"/>
        <v>VULKAL D.O.O.</v>
      </c>
      <c r="E39" s="16">
        <v>42345</v>
      </c>
      <c r="F39" s="16">
        <v>42369</v>
      </c>
      <c r="G39" s="13">
        <v>444816</v>
      </c>
      <c r="H39" s="16">
        <v>42369</v>
      </c>
      <c r="I39" s="13">
        <v>452816</v>
      </c>
      <c r="J39" s="13">
        <f t="shared" si="1"/>
        <v>566020</v>
      </c>
      <c r="K39" s="6"/>
    </row>
    <row r="40" spans="1:11" ht="24" x14ac:dyDescent="0.25">
      <c r="A40" s="3">
        <v>33</v>
      </c>
      <c r="B40" s="14" t="s">
        <v>42</v>
      </c>
      <c r="C40" s="15" t="str">
        <f>"SNUG-201-14-0063"</f>
        <v>SNUG-201-14-0063</v>
      </c>
      <c r="D40" s="15" t="str">
        <f t="shared" si="0"/>
        <v>VULKAL D.O.O.</v>
      </c>
      <c r="E40" s="16">
        <v>42355</v>
      </c>
      <c r="F40" s="16">
        <v>42246</v>
      </c>
      <c r="G40" s="13">
        <v>157.36000000000001</v>
      </c>
      <c r="H40" s="16">
        <v>42246</v>
      </c>
      <c r="I40" s="13">
        <v>3947.36</v>
      </c>
      <c r="J40" s="13">
        <f t="shared" si="1"/>
        <v>4934.2</v>
      </c>
      <c r="K40" s="6"/>
    </row>
    <row r="41" spans="1:11" x14ac:dyDescent="0.25">
      <c r="A41" s="3">
        <v>34</v>
      </c>
      <c r="B41" s="14" t="s">
        <v>42</v>
      </c>
      <c r="C41" s="15" t="str">
        <f>"NND-201-15-091"</f>
        <v>NND-201-15-091</v>
      </c>
      <c r="D41" s="15" t="str">
        <f t="shared" si="0"/>
        <v>VULKAL D.O.O.</v>
      </c>
      <c r="E41" s="16">
        <v>42132</v>
      </c>
      <c r="F41" s="16">
        <v>42156</v>
      </c>
      <c r="G41" s="13">
        <v>950</v>
      </c>
      <c r="H41" s="16">
        <v>42156</v>
      </c>
      <c r="I41" s="13">
        <v>950</v>
      </c>
      <c r="J41" s="13">
        <f t="shared" si="1"/>
        <v>1187.5</v>
      </c>
      <c r="K41" s="6"/>
    </row>
    <row r="42" spans="1:11" x14ac:dyDescent="0.25">
      <c r="A42" s="3">
        <v>35</v>
      </c>
      <c r="B42" s="14" t="s">
        <v>42</v>
      </c>
      <c r="C42" s="15" t="str">
        <f>"NND-201-15-193"</f>
        <v>NND-201-15-193</v>
      </c>
      <c r="D42" s="15" t="str">
        <f t="shared" si="0"/>
        <v>VULKAL D.O.O.</v>
      </c>
      <c r="E42" s="16">
        <v>42209</v>
      </c>
      <c r="F42" s="16"/>
      <c r="G42" s="13">
        <v>6434</v>
      </c>
      <c r="H42" s="16"/>
      <c r="I42" s="13">
        <v>6434</v>
      </c>
      <c r="J42" s="13">
        <f t="shared" si="1"/>
        <v>8042.5</v>
      </c>
      <c r="K42" s="6"/>
    </row>
    <row r="43" spans="1:11" x14ac:dyDescent="0.25">
      <c r="A43" s="3">
        <v>36</v>
      </c>
      <c r="B43" s="14" t="s">
        <v>26</v>
      </c>
      <c r="C43" s="15" t="str">
        <f>"PON-2-1387"</f>
        <v>PON-2-1387</v>
      </c>
      <c r="D43" s="15" t="str">
        <f t="shared" si="0"/>
        <v>VULKAL D.O.O.</v>
      </c>
      <c r="E43" s="16">
        <v>42087</v>
      </c>
      <c r="F43" s="16"/>
      <c r="G43" s="13">
        <v>14690</v>
      </c>
      <c r="H43" s="16"/>
      <c r="I43" s="13">
        <v>14690</v>
      </c>
      <c r="J43" s="13">
        <f t="shared" si="1"/>
        <v>18362.5</v>
      </c>
      <c r="K43" s="6"/>
    </row>
    <row r="44" spans="1:11" x14ac:dyDescent="0.25">
      <c r="A44" s="3">
        <v>37</v>
      </c>
      <c r="B44" s="14" t="s">
        <v>26</v>
      </c>
      <c r="C44" s="15" t="str">
        <f>"PON-2-7144"</f>
        <v>PON-2-7144</v>
      </c>
      <c r="D44" s="15" t="str">
        <f t="shared" si="0"/>
        <v>VULKAL D.O.O.</v>
      </c>
      <c r="E44" s="16">
        <v>42303</v>
      </c>
      <c r="F44" s="16"/>
      <c r="G44" s="13">
        <v>10346</v>
      </c>
      <c r="H44" s="16"/>
      <c r="I44" s="13">
        <v>10346</v>
      </c>
      <c r="J44" s="13">
        <f t="shared" si="1"/>
        <v>12932.5</v>
      </c>
      <c r="K44" s="6"/>
    </row>
    <row r="45" spans="1:11" ht="24" x14ac:dyDescent="0.25">
      <c r="A45" s="3">
        <v>38</v>
      </c>
      <c r="B45" s="14" t="s">
        <v>39</v>
      </c>
      <c r="C45" s="15" t="str">
        <f>"182"</f>
        <v>182</v>
      </c>
      <c r="D45" s="15" t="str">
        <f t="shared" si="0"/>
        <v>VULKAL D.O.O.</v>
      </c>
      <c r="E45" s="16">
        <v>42107</v>
      </c>
      <c r="F45" s="16"/>
      <c r="G45" s="13">
        <v>937.5</v>
      </c>
      <c r="H45" s="16"/>
      <c r="I45" s="13">
        <v>937.5</v>
      </c>
      <c r="J45" s="13">
        <f t="shared" si="1"/>
        <v>1171.875</v>
      </c>
      <c r="K45" s="6"/>
    </row>
    <row r="46" spans="1:11" ht="24" x14ac:dyDescent="0.25">
      <c r="A46" s="3">
        <v>39</v>
      </c>
      <c r="B46" s="14" t="s">
        <v>39</v>
      </c>
      <c r="C46" s="15" t="str">
        <f>"183"</f>
        <v>183</v>
      </c>
      <c r="D46" s="15" t="str">
        <f t="shared" si="0"/>
        <v>VULKAL D.O.O.</v>
      </c>
      <c r="E46" s="16">
        <v>42107</v>
      </c>
      <c r="F46" s="16"/>
      <c r="G46" s="13">
        <v>120</v>
      </c>
      <c r="H46" s="16"/>
      <c r="I46" s="13">
        <v>120</v>
      </c>
      <c r="J46" s="13">
        <f t="shared" si="1"/>
        <v>150</v>
      </c>
      <c r="K46" s="6"/>
    </row>
    <row r="47" spans="1:11" ht="24" x14ac:dyDescent="0.25">
      <c r="A47" s="3">
        <v>40</v>
      </c>
      <c r="B47" s="14" t="s">
        <v>39</v>
      </c>
      <c r="C47" s="15" t="str">
        <f>"555"</f>
        <v>555</v>
      </c>
      <c r="D47" s="15" t="str">
        <f t="shared" si="0"/>
        <v>VULKAL D.O.O.</v>
      </c>
      <c r="E47" s="16">
        <v>42303</v>
      </c>
      <c r="F47" s="16"/>
      <c r="G47" s="13">
        <v>1250</v>
      </c>
      <c r="H47" s="16"/>
      <c r="I47" s="13">
        <v>1250</v>
      </c>
      <c r="J47" s="13">
        <f t="shared" si="1"/>
        <v>1562.5</v>
      </c>
      <c r="K47" s="6"/>
    </row>
    <row r="48" spans="1:11" ht="24" x14ac:dyDescent="0.25">
      <c r="A48" s="3">
        <v>41</v>
      </c>
      <c r="B48" s="14" t="s">
        <v>39</v>
      </c>
      <c r="C48" s="15" t="str">
        <f>"2432"</f>
        <v>2432</v>
      </c>
      <c r="D48" s="15" t="str">
        <f t="shared" si="0"/>
        <v>VULKAL D.O.O.</v>
      </c>
      <c r="E48" s="16">
        <v>42291</v>
      </c>
      <c r="F48" s="16"/>
      <c r="G48" s="13">
        <v>5239</v>
      </c>
      <c r="H48" s="16"/>
      <c r="I48" s="13">
        <v>5239</v>
      </c>
      <c r="J48" s="13">
        <f t="shared" si="1"/>
        <v>6548.75</v>
      </c>
      <c r="K48" s="6"/>
    </row>
    <row r="49" spans="1:11" ht="24" x14ac:dyDescent="0.25">
      <c r="A49" s="3">
        <v>42</v>
      </c>
      <c r="B49" s="14" t="s">
        <v>39</v>
      </c>
      <c r="C49" s="15" t="str">
        <f>"2460"</f>
        <v>2460</v>
      </c>
      <c r="D49" s="15" t="str">
        <f t="shared" si="0"/>
        <v>VULKAL D.O.O.</v>
      </c>
      <c r="E49" s="16">
        <v>42305</v>
      </c>
      <c r="F49" s="16"/>
      <c r="G49" s="13">
        <v>3397.5</v>
      </c>
      <c r="H49" s="16"/>
      <c r="I49" s="13">
        <v>3397.5</v>
      </c>
      <c r="J49" s="13">
        <f t="shared" si="1"/>
        <v>4246.875</v>
      </c>
      <c r="K49" s="6"/>
    </row>
    <row r="50" spans="1:11" x14ac:dyDescent="0.25">
      <c r="A50" s="3">
        <v>43</v>
      </c>
      <c r="B50" s="14" t="s">
        <v>42</v>
      </c>
      <c r="C50" s="15" t="str">
        <f>"UG-201-15-0573"</f>
        <v>UG-201-15-0573</v>
      </c>
      <c r="D50" s="15" t="str">
        <f t="shared" si="0"/>
        <v>VULKAL D.O.O.</v>
      </c>
      <c r="E50" s="16">
        <v>42191</v>
      </c>
      <c r="F50" s="16"/>
      <c r="G50" s="13">
        <v>267236</v>
      </c>
      <c r="H50" s="16"/>
      <c r="I50" s="13">
        <v>184590</v>
      </c>
      <c r="J50" s="13">
        <f t="shared" si="1"/>
        <v>230737.5</v>
      </c>
      <c r="K50" s="6"/>
    </row>
    <row r="51" spans="1:11" ht="24" x14ac:dyDescent="0.25">
      <c r="A51" s="3">
        <v>44</v>
      </c>
      <c r="B51" s="14" t="s">
        <v>30</v>
      </c>
      <c r="C51" s="15" t="str">
        <f>"210/2015"</f>
        <v>210/2015</v>
      </c>
      <c r="D51" s="15" t="str">
        <f t="shared" si="0"/>
        <v>VULKAL D.O.O.</v>
      </c>
      <c r="E51" s="16">
        <v>42116</v>
      </c>
      <c r="F51" s="16"/>
      <c r="G51" s="13">
        <v>1562</v>
      </c>
      <c r="H51" s="16"/>
      <c r="I51" s="13">
        <v>1562</v>
      </c>
      <c r="J51" s="13">
        <f t="shared" si="1"/>
        <v>1952.5</v>
      </c>
      <c r="K51" s="6"/>
    </row>
    <row r="52" spans="1:11" ht="24" x14ac:dyDescent="0.25">
      <c r="A52" s="3">
        <v>45</v>
      </c>
      <c r="B52" s="14" t="s">
        <v>30</v>
      </c>
      <c r="C52" s="15" t="str">
        <f>"219/2015"</f>
        <v>219/2015</v>
      </c>
      <c r="D52" s="15" t="str">
        <f t="shared" si="0"/>
        <v>VULKAL D.O.O.</v>
      </c>
      <c r="E52" s="16">
        <v>42117</v>
      </c>
      <c r="F52" s="16"/>
      <c r="G52" s="13">
        <v>1030</v>
      </c>
      <c r="H52" s="16"/>
      <c r="I52" s="13">
        <v>1030</v>
      </c>
      <c r="J52" s="13">
        <f t="shared" si="1"/>
        <v>1287.5</v>
      </c>
      <c r="K52" s="6"/>
    </row>
    <row r="53" spans="1:11" ht="24" x14ac:dyDescent="0.25">
      <c r="A53" s="3">
        <v>46</v>
      </c>
      <c r="B53" s="14" t="s">
        <v>30</v>
      </c>
      <c r="C53" s="15" t="str">
        <f>"220/2015"</f>
        <v>220/2015</v>
      </c>
      <c r="D53" s="15" t="str">
        <f t="shared" si="0"/>
        <v>VULKAL D.O.O.</v>
      </c>
      <c r="E53" s="16">
        <v>42117</v>
      </c>
      <c r="F53" s="16"/>
      <c r="G53" s="13">
        <v>190</v>
      </c>
      <c r="H53" s="16"/>
      <c r="I53" s="13">
        <v>190</v>
      </c>
      <c r="J53" s="13">
        <f t="shared" si="1"/>
        <v>237.5</v>
      </c>
      <c r="K53" s="6"/>
    </row>
    <row r="54" spans="1:11" ht="24" x14ac:dyDescent="0.25">
      <c r="A54" s="3">
        <v>47</v>
      </c>
      <c r="B54" s="14" t="s">
        <v>30</v>
      </c>
      <c r="C54" s="15" t="str">
        <f>"221/2015"</f>
        <v>221/2015</v>
      </c>
      <c r="D54" s="15" t="str">
        <f t="shared" si="0"/>
        <v>VULKAL D.O.O.</v>
      </c>
      <c r="E54" s="16">
        <v>42117</v>
      </c>
      <c r="F54" s="16"/>
      <c r="G54" s="13">
        <v>190</v>
      </c>
      <c r="H54" s="16"/>
      <c r="I54" s="13">
        <v>190</v>
      </c>
      <c r="J54" s="13">
        <f t="shared" si="1"/>
        <v>237.5</v>
      </c>
      <c r="K54" s="6"/>
    </row>
    <row r="55" spans="1:11" ht="24" x14ac:dyDescent="0.25">
      <c r="A55" s="3">
        <v>48</v>
      </c>
      <c r="B55" s="14" t="s">
        <v>30</v>
      </c>
      <c r="C55" s="15" t="str">
        <f>"222/2015"</f>
        <v>222/2015</v>
      </c>
      <c r="D55" s="15" t="str">
        <f t="shared" si="0"/>
        <v>VULKAL D.O.O.</v>
      </c>
      <c r="E55" s="16">
        <v>42117</v>
      </c>
      <c r="F55" s="16"/>
      <c r="G55" s="13">
        <v>1130</v>
      </c>
      <c r="H55" s="16"/>
      <c r="I55" s="13">
        <v>1130</v>
      </c>
      <c r="J55" s="13">
        <f t="shared" si="1"/>
        <v>1412.5</v>
      </c>
      <c r="K55" s="6"/>
    </row>
    <row r="56" spans="1:11" ht="24" x14ac:dyDescent="0.25">
      <c r="A56" s="3">
        <v>49</v>
      </c>
      <c r="B56" s="14" t="s">
        <v>30</v>
      </c>
      <c r="C56" s="15" t="str">
        <f>"223/2015"</f>
        <v>223/2015</v>
      </c>
      <c r="D56" s="15" t="str">
        <f t="shared" si="0"/>
        <v>VULKAL D.O.O.</v>
      </c>
      <c r="E56" s="16">
        <v>42117</v>
      </c>
      <c r="F56" s="16"/>
      <c r="G56" s="13">
        <v>1030</v>
      </c>
      <c r="H56" s="16"/>
      <c r="I56" s="13">
        <v>1030</v>
      </c>
      <c r="J56" s="13">
        <f t="shared" si="1"/>
        <v>1287.5</v>
      </c>
      <c r="K56" s="6"/>
    </row>
    <row r="57" spans="1:11" ht="24" x14ac:dyDescent="0.25">
      <c r="A57" s="3">
        <v>50</v>
      </c>
      <c r="B57" s="14" t="s">
        <v>30</v>
      </c>
      <c r="C57" s="15" t="str">
        <f>"224/2015"</f>
        <v>224/2015</v>
      </c>
      <c r="D57" s="15" t="str">
        <f t="shared" si="0"/>
        <v>VULKAL D.O.O.</v>
      </c>
      <c r="E57" s="16">
        <v>42117</v>
      </c>
      <c r="F57" s="16"/>
      <c r="G57" s="13">
        <v>1030</v>
      </c>
      <c r="H57" s="16"/>
      <c r="I57" s="13">
        <v>1030</v>
      </c>
      <c r="J57" s="13">
        <f t="shared" si="1"/>
        <v>1287.5</v>
      </c>
      <c r="K57" s="6"/>
    </row>
    <row r="58" spans="1:11" ht="24" x14ac:dyDescent="0.25">
      <c r="A58" s="3">
        <v>51</v>
      </c>
      <c r="B58" s="14" t="s">
        <v>30</v>
      </c>
      <c r="C58" s="15" t="str">
        <f>"227/2015"</f>
        <v>227/2015</v>
      </c>
      <c r="D58" s="15" t="str">
        <f t="shared" si="0"/>
        <v>VULKAL D.O.O.</v>
      </c>
      <c r="E58" s="16">
        <v>42118</v>
      </c>
      <c r="F58" s="16"/>
      <c r="G58" s="13">
        <v>190</v>
      </c>
      <c r="H58" s="16"/>
      <c r="I58" s="13">
        <v>190</v>
      </c>
      <c r="J58" s="13">
        <f t="shared" si="1"/>
        <v>237.5</v>
      </c>
      <c r="K58" s="6"/>
    </row>
    <row r="59" spans="1:11" ht="24" x14ac:dyDescent="0.25">
      <c r="A59" s="3">
        <v>52</v>
      </c>
      <c r="B59" s="14" t="s">
        <v>30</v>
      </c>
      <c r="C59" s="15" t="str">
        <f>"228/2015"</f>
        <v>228/2015</v>
      </c>
      <c r="D59" s="15" t="str">
        <f t="shared" si="0"/>
        <v>VULKAL D.O.O.</v>
      </c>
      <c r="E59" s="16">
        <v>42118</v>
      </c>
      <c r="F59" s="16"/>
      <c r="G59" s="13">
        <v>1130</v>
      </c>
      <c r="H59" s="16"/>
      <c r="I59" s="13">
        <v>1130</v>
      </c>
      <c r="J59" s="13">
        <f t="shared" si="1"/>
        <v>1412.5</v>
      </c>
      <c r="K59" s="6"/>
    </row>
    <row r="60" spans="1:11" ht="24" x14ac:dyDescent="0.25">
      <c r="A60" s="3">
        <v>53</v>
      </c>
      <c r="B60" s="14" t="s">
        <v>30</v>
      </c>
      <c r="C60" s="15" t="str">
        <f>"229/2015"</f>
        <v>229/2015</v>
      </c>
      <c r="D60" s="15" t="str">
        <f t="shared" si="0"/>
        <v>VULKAL D.O.O.</v>
      </c>
      <c r="E60" s="16">
        <v>42118</v>
      </c>
      <c r="F60" s="16"/>
      <c r="G60" s="13">
        <v>190</v>
      </c>
      <c r="H60" s="16"/>
      <c r="I60" s="13">
        <v>190</v>
      </c>
      <c r="J60" s="13">
        <f t="shared" si="1"/>
        <v>237.5</v>
      </c>
      <c r="K60" s="6"/>
    </row>
    <row r="61" spans="1:11" ht="24" x14ac:dyDescent="0.25">
      <c r="A61" s="3">
        <v>54</v>
      </c>
      <c r="B61" s="14" t="s">
        <v>30</v>
      </c>
      <c r="C61" s="15" t="str">
        <f>"230/2015"</f>
        <v>230/2015</v>
      </c>
      <c r="D61" s="15" t="str">
        <f t="shared" si="0"/>
        <v>VULKAL D.O.O.</v>
      </c>
      <c r="E61" s="16">
        <v>42118</v>
      </c>
      <c r="F61" s="16"/>
      <c r="G61" s="13">
        <v>1914</v>
      </c>
      <c r="H61" s="16"/>
      <c r="I61" s="13">
        <v>1914</v>
      </c>
      <c r="J61" s="13">
        <f t="shared" si="1"/>
        <v>2392.5</v>
      </c>
      <c r="K61" s="6"/>
    </row>
    <row r="62" spans="1:11" ht="24" x14ac:dyDescent="0.25">
      <c r="A62" s="3">
        <v>55</v>
      </c>
      <c r="B62" s="14" t="s">
        <v>30</v>
      </c>
      <c r="C62" s="15" t="str">
        <f>"231/2015"</f>
        <v>231/2015</v>
      </c>
      <c r="D62" s="15" t="str">
        <f t="shared" si="0"/>
        <v>VULKAL D.O.O.</v>
      </c>
      <c r="E62" s="16">
        <v>42118</v>
      </c>
      <c r="F62" s="16"/>
      <c r="G62" s="13">
        <v>190</v>
      </c>
      <c r="H62" s="16"/>
      <c r="I62" s="13">
        <v>190</v>
      </c>
      <c r="J62" s="13">
        <f t="shared" si="1"/>
        <v>237.5</v>
      </c>
      <c r="K62" s="6"/>
    </row>
    <row r="63" spans="1:11" ht="24" x14ac:dyDescent="0.25">
      <c r="A63" s="3">
        <v>56</v>
      </c>
      <c r="B63" s="14" t="s">
        <v>30</v>
      </c>
      <c r="C63" s="15" t="str">
        <f>"232/2015"</f>
        <v>232/2015</v>
      </c>
      <c r="D63" s="15" t="str">
        <f t="shared" si="0"/>
        <v>VULKAL D.O.O.</v>
      </c>
      <c r="E63" s="16">
        <v>42118</v>
      </c>
      <c r="F63" s="16"/>
      <c r="G63" s="13">
        <v>1130</v>
      </c>
      <c r="H63" s="16"/>
      <c r="I63" s="13">
        <v>1130</v>
      </c>
      <c r="J63" s="13">
        <f t="shared" si="1"/>
        <v>1412.5</v>
      </c>
      <c r="K63" s="6"/>
    </row>
    <row r="64" spans="1:11" ht="24" x14ac:dyDescent="0.25">
      <c r="A64" s="3">
        <v>57</v>
      </c>
      <c r="B64" s="14" t="s">
        <v>30</v>
      </c>
      <c r="C64" s="15" t="str">
        <f>"233/2015"</f>
        <v>233/2015</v>
      </c>
      <c r="D64" s="15" t="str">
        <f t="shared" si="0"/>
        <v>VULKAL D.O.O.</v>
      </c>
      <c r="E64" s="16">
        <v>42118</v>
      </c>
      <c r="F64" s="16"/>
      <c r="G64" s="13">
        <v>190</v>
      </c>
      <c r="H64" s="16"/>
      <c r="I64" s="13">
        <v>190</v>
      </c>
      <c r="J64" s="13">
        <f t="shared" si="1"/>
        <v>237.5</v>
      </c>
      <c r="K64" s="6"/>
    </row>
    <row r="65" spans="1:11" ht="24" x14ac:dyDescent="0.25">
      <c r="A65" s="3">
        <v>58</v>
      </c>
      <c r="B65" s="14" t="s">
        <v>30</v>
      </c>
      <c r="C65" s="15" t="str">
        <f>"000234/2015"</f>
        <v>000234/2015</v>
      </c>
      <c r="D65" s="15" t="str">
        <f t="shared" si="0"/>
        <v>VULKAL D.O.O.</v>
      </c>
      <c r="E65" s="16">
        <v>42118</v>
      </c>
      <c r="F65" s="16"/>
      <c r="G65" s="13">
        <v>1130</v>
      </c>
      <c r="H65" s="16"/>
      <c r="I65" s="13">
        <v>1130</v>
      </c>
      <c r="J65" s="13">
        <f t="shared" si="1"/>
        <v>1412.5</v>
      </c>
      <c r="K65" s="6"/>
    </row>
    <row r="66" spans="1:11" ht="24" x14ac:dyDescent="0.25">
      <c r="A66" s="3">
        <v>59</v>
      </c>
      <c r="B66" s="14" t="s">
        <v>30</v>
      </c>
      <c r="C66" s="15" t="str">
        <f>"235/2015"</f>
        <v>235/2015</v>
      </c>
      <c r="D66" s="15" t="str">
        <f t="shared" si="0"/>
        <v>VULKAL D.O.O.</v>
      </c>
      <c r="E66" s="16">
        <v>42118</v>
      </c>
      <c r="F66" s="16"/>
      <c r="G66" s="13">
        <v>1130</v>
      </c>
      <c r="H66" s="16"/>
      <c r="I66" s="13">
        <v>1130</v>
      </c>
      <c r="J66" s="13">
        <f t="shared" si="1"/>
        <v>1412.5</v>
      </c>
      <c r="K66" s="6"/>
    </row>
    <row r="67" spans="1:11" ht="24" x14ac:dyDescent="0.25">
      <c r="A67" s="3">
        <v>60</v>
      </c>
      <c r="B67" s="14" t="s">
        <v>30</v>
      </c>
      <c r="C67" s="15" t="str">
        <f>"236/2015"</f>
        <v>236/2015</v>
      </c>
      <c r="D67" s="15" t="str">
        <f t="shared" si="0"/>
        <v>VULKAL D.O.O.</v>
      </c>
      <c r="E67" s="16">
        <v>42118</v>
      </c>
      <c r="F67" s="16"/>
      <c r="G67" s="13">
        <v>2342</v>
      </c>
      <c r="H67" s="16"/>
      <c r="I67" s="13">
        <v>2342</v>
      </c>
      <c r="J67" s="13">
        <f t="shared" si="1"/>
        <v>2927.5</v>
      </c>
      <c r="K67" s="6"/>
    </row>
    <row r="68" spans="1:11" ht="24" x14ac:dyDescent="0.25">
      <c r="A68" s="3">
        <v>61</v>
      </c>
      <c r="B68" s="14" t="s">
        <v>30</v>
      </c>
      <c r="C68" s="15" t="str">
        <f>"237/2015"</f>
        <v>237/2015</v>
      </c>
      <c r="D68" s="15" t="str">
        <f t="shared" si="0"/>
        <v>VULKAL D.O.O.</v>
      </c>
      <c r="E68" s="16">
        <v>42118</v>
      </c>
      <c r="F68" s="16"/>
      <c r="G68" s="13">
        <v>190</v>
      </c>
      <c r="H68" s="16"/>
      <c r="I68" s="13">
        <v>190</v>
      </c>
      <c r="J68" s="13">
        <f t="shared" si="1"/>
        <v>237.5</v>
      </c>
      <c r="K68" s="6"/>
    </row>
    <row r="69" spans="1:11" ht="24" x14ac:dyDescent="0.25">
      <c r="A69" s="3">
        <v>62</v>
      </c>
      <c r="B69" s="14" t="s">
        <v>30</v>
      </c>
      <c r="C69" s="15" t="str">
        <f>"000238/2015"</f>
        <v>000238/2015</v>
      </c>
      <c r="D69" s="15" t="str">
        <f t="shared" si="0"/>
        <v>VULKAL D.O.O.</v>
      </c>
      <c r="E69" s="16">
        <v>42118</v>
      </c>
      <c r="F69" s="16"/>
      <c r="G69" s="13">
        <v>1130</v>
      </c>
      <c r="H69" s="16"/>
      <c r="I69" s="13">
        <v>1130</v>
      </c>
      <c r="J69" s="13">
        <f t="shared" si="1"/>
        <v>1412.5</v>
      </c>
      <c r="K69" s="6"/>
    </row>
    <row r="70" spans="1:11" ht="24" x14ac:dyDescent="0.25">
      <c r="A70" s="3">
        <v>63</v>
      </c>
      <c r="B70" s="14" t="s">
        <v>30</v>
      </c>
      <c r="C70" s="15" t="str">
        <f>"239/2015"</f>
        <v>239/2015</v>
      </c>
      <c r="D70" s="15" t="str">
        <f t="shared" si="0"/>
        <v>VULKAL D.O.O.</v>
      </c>
      <c r="E70" s="16">
        <v>42118</v>
      </c>
      <c r="F70" s="16"/>
      <c r="G70" s="13">
        <v>190</v>
      </c>
      <c r="H70" s="16"/>
      <c r="I70" s="13">
        <v>190</v>
      </c>
      <c r="J70" s="13">
        <f t="shared" si="1"/>
        <v>237.5</v>
      </c>
      <c r="K70" s="6"/>
    </row>
    <row r="71" spans="1:11" ht="24" x14ac:dyDescent="0.25">
      <c r="A71" s="3">
        <v>64</v>
      </c>
      <c r="B71" s="14" t="s">
        <v>30</v>
      </c>
      <c r="C71" s="15" t="str">
        <f>"240/2015"</f>
        <v>240/2015</v>
      </c>
      <c r="D71" s="15" t="str">
        <f t="shared" si="0"/>
        <v>VULKAL D.O.O.</v>
      </c>
      <c r="E71" s="16">
        <v>42118</v>
      </c>
      <c r="F71" s="16"/>
      <c r="G71" s="13">
        <v>1190</v>
      </c>
      <c r="H71" s="16"/>
      <c r="I71" s="13">
        <v>1190</v>
      </c>
      <c r="J71" s="13">
        <f t="shared" si="1"/>
        <v>1487.5</v>
      </c>
      <c r="K71" s="6"/>
    </row>
    <row r="72" spans="1:11" ht="24" x14ac:dyDescent="0.25">
      <c r="A72" s="3">
        <v>65</v>
      </c>
      <c r="B72" s="14" t="s">
        <v>30</v>
      </c>
      <c r="C72" s="15" t="str">
        <f>"246/2015"</f>
        <v>246/2015</v>
      </c>
      <c r="D72" s="15" t="str">
        <f t="shared" ref="D72:D116" si="2">CONCATENATE("VULKAL D.O.O.")</f>
        <v>VULKAL D.O.O.</v>
      </c>
      <c r="E72" s="16">
        <v>42121</v>
      </c>
      <c r="F72" s="16"/>
      <c r="G72" s="13">
        <v>1260</v>
      </c>
      <c r="H72" s="16"/>
      <c r="I72" s="13">
        <v>1260</v>
      </c>
      <c r="J72" s="13">
        <f t="shared" si="1"/>
        <v>1575</v>
      </c>
      <c r="K72" s="6"/>
    </row>
    <row r="73" spans="1:11" ht="24" x14ac:dyDescent="0.25">
      <c r="A73" s="3">
        <v>66</v>
      </c>
      <c r="B73" s="14" t="s">
        <v>30</v>
      </c>
      <c r="C73" s="15" t="str">
        <f>"248/2015"</f>
        <v>248/2015</v>
      </c>
      <c r="D73" s="15" t="str">
        <f t="shared" si="2"/>
        <v>VULKAL D.O.O.</v>
      </c>
      <c r="E73" s="16">
        <v>42123</v>
      </c>
      <c r="F73" s="16"/>
      <c r="G73" s="13">
        <v>1220</v>
      </c>
      <c r="H73" s="16"/>
      <c r="I73" s="13">
        <v>1220</v>
      </c>
      <c r="J73" s="13">
        <f t="shared" ref="J73:J116" si="3">I73*1.25</f>
        <v>1525</v>
      </c>
      <c r="K73" s="6"/>
    </row>
    <row r="74" spans="1:11" ht="24" x14ac:dyDescent="0.25">
      <c r="A74" s="3">
        <v>67</v>
      </c>
      <c r="B74" s="14" t="s">
        <v>30</v>
      </c>
      <c r="C74" s="15" t="str">
        <f>"774/2015"</f>
        <v>774/2015</v>
      </c>
      <c r="D74" s="15" t="str">
        <f t="shared" si="2"/>
        <v>VULKAL D.O.O.</v>
      </c>
      <c r="E74" s="16">
        <v>42339</v>
      </c>
      <c r="F74" s="16"/>
      <c r="G74" s="13">
        <v>1490</v>
      </c>
      <c r="H74" s="16"/>
      <c r="I74" s="13">
        <v>1490</v>
      </c>
      <c r="J74" s="13">
        <f t="shared" si="3"/>
        <v>1862.5</v>
      </c>
      <c r="K74" s="6"/>
    </row>
    <row r="75" spans="1:11" ht="24" x14ac:dyDescent="0.25">
      <c r="A75" s="3">
        <v>68</v>
      </c>
      <c r="B75" s="14" t="s">
        <v>30</v>
      </c>
      <c r="C75" s="15" t="str">
        <f>"681/2015"</f>
        <v>681/2015</v>
      </c>
      <c r="D75" s="15" t="str">
        <f t="shared" si="2"/>
        <v>VULKAL D.O.O.</v>
      </c>
      <c r="E75" s="16">
        <v>42312</v>
      </c>
      <c r="F75" s="16"/>
      <c r="G75" s="13">
        <v>190</v>
      </c>
      <c r="H75" s="16"/>
      <c r="I75" s="13">
        <v>190</v>
      </c>
      <c r="J75" s="13">
        <f t="shared" si="3"/>
        <v>237.5</v>
      </c>
      <c r="K75" s="6"/>
    </row>
    <row r="76" spans="1:11" ht="24" x14ac:dyDescent="0.25">
      <c r="A76" s="3">
        <v>69</v>
      </c>
      <c r="B76" s="14" t="s">
        <v>30</v>
      </c>
      <c r="C76" s="15" t="str">
        <f>"677/2015"</f>
        <v>677/2015</v>
      </c>
      <c r="D76" s="15" t="str">
        <f t="shared" si="2"/>
        <v>VULKAL D.O.O.</v>
      </c>
      <c r="E76" s="16">
        <v>42312</v>
      </c>
      <c r="F76" s="16"/>
      <c r="G76" s="13">
        <v>190</v>
      </c>
      <c r="H76" s="16"/>
      <c r="I76" s="13">
        <v>190</v>
      </c>
      <c r="J76" s="13">
        <f t="shared" si="3"/>
        <v>237.5</v>
      </c>
      <c r="K76" s="6"/>
    </row>
    <row r="77" spans="1:11" ht="24" x14ac:dyDescent="0.25">
      <c r="A77" s="3">
        <v>70</v>
      </c>
      <c r="B77" s="14" t="s">
        <v>30</v>
      </c>
      <c r="C77" s="15" t="str">
        <f>"676/2015"</f>
        <v>676/2015</v>
      </c>
      <c r="D77" s="15" t="str">
        <f t="shared" si="2"/>
        <v>VULKAL D.O.O.</v>
      </c>
      <c r="E77" s="16">
        <v>42312</v>
      </c>
      <c r="F77" s="16"/>
      <c r="G77" s="13">
        <v>250</v>
      </c>
      <c r="H77" s="16"/>
      <c r="I77" s="13">
        <v>250</v>
      </c>
      <c r="J77" s="13">
        <f t="shared" si="3"/>
        <v>312.5</v>
      </c>
      <c r="K77" s="6"/>
    </row>
    <row r="78" spans="1:11" ht="24" x14ac:dyDescent="0.25">
      <c r="A78" s="3">
        <v>71</v>
      </c>
      <c r="B78" s="14" t="s">
        <v>30</v>
      </c>
      <c r="C78" s="15" t="str">
        <f>"675/2015"</f>
        <v>675/2015</v>
      </c>
      <c r="D78" s="15" t="str">
        <f t="shared" si="2"/>
        <v>VULKAL D.O.O.</v>
      </c>
      <c r="E78" s="16">
        <v>42312</v>
      </c>
      <c r="F78" s="16"/>
      <c r="G78" s="13">
        <v>250</v>
      </c>
      <c r="H78" s="16"/>
      <c r="I78" s="13">
        <v>250</v>
      </c>
      <c r="J78" s="13">
        <f t="shared" si="3"/>
        <v>312.5</v>
      </c>
      <c r="K78" s="6"/>
    </row>
    <row r="79" spans="1:11" ht="24" x14ac:dyDescent="0.25">
      <c r="A79" s="3">
        <v>72</v>
      </c>
      <c r="B79" s="14" t="s">
        <v>30</v>
      </c>
      <c r="C79" s="15" t="str">
        <f>"674/2015"</f>
        <v>674/2015</v>
      </c>
      <c r="D79" s="15" t="str">
        <f t="shared" si="2"/>
        <v>VULKAL D.O.O.</v>
      </c>
      <c r="E79" s="16">
        <v>42312</v>
      </c>
      <c r="F79" s="16"/>
      <c r="G79" s="13">
        <v>250</v>
      </c>
      <c r="H79" s="16"/>
      <c r="I79" s="13">
        <v>250</v>
      </c>
      <c r="J79" s="13">
        <f t="shared" si="3"/>
        <v>312.5</v>
      </c>
      <c r="K79" s="6"/>
    </row>
    <row r="80" spans="1:11" ht="24" x14ac:dyDescent="0.25">
      <c r="A80" s="3">
        <v>73</v>
      </c>
      <c r="B80" s="14" t="s">
        <v>30</v>
      </c>
      <c r="C80" s="15" t="str">
        <f>"673/2015"</f>
        <v>673/2015</v>
      </c>
      <c r="D80" s="15" t="str">
        <f t="shared" si="2"/>
        <v>VULKAL D.O.O.</v>
      </c>
      <c r="E80" s="16">
        <v>42312</v>
      </c>
      <c r="F80" s="16"/>
      <c r="G80" s="13">
        <v>250</v>
      </c>
      <c r="H80" s="16"/>
      <c r="I80" s="13">
        <v>250</v>
      </c>
      <c r="J80" s="13">
        <f t="shared" si="3"/>
        <v>312.5</v>
      </c>
      <c r="K80" s="6"/>
    </row>
    <row r="81" spans="1:11" ht="24" x14ac:dyDescent="0.25">
      <c r="A81" s="3">
        <v>74</v>
      </c>
      <c r="B81" s="14" t="s">
        <v>30</v>
      </c>
      <c r="C81" s="15" t="str">
        <f>"672/2015"</f>
        <v>672/2015</v>
      </c>
      <c r="D81" s="15" t="str">
        <f t="shared" si="2"/>
        <v>VULKAL D.O.O.</v>
      </c>
      <c r="E81" s="16">
        <v>42312</v>
      </c>
      <c r="F81" s="16"/>
      <c r="G81" s="13">
        <v>1298</v>
      </c>
      <c r="H81" s="16"/>
      <c r="I81" s="13">
        <v>1298</v>
      </c>
      <c r="J81" s="13">
        <f t="shared" si="3"/>
        <v>1622.5</v>
      </c>
      <c r="K81" s="6"/>
    </row>
    <row r="82" spans="1:11" ht="24" x14ac:dyDescent="0.25">
      <c r="A82" s="3">
        <v>75</v>
      </c>
      <c r="B82" s="14" t="s">
        <v>30</v>
      </c>
      <c r="C82" s="15" t="str">
        <f>"671/2015"</f>
        <v>671/2015</v>
      </c>
      <c r="D82" s="15" t="str">
        <f t="shared" si="2"/>
        <v>VULKAL D.O.O.</v>
      </c>
      <c r="E82" s="16">
        <v>42312</v>
      </c>
      <c r="F82" s="16"/>
      <c r="G82" s="13">
        <v>1298</v>
      </c>
      <c r="H82" s="16"/>
      <c r="I82" s="13">
        <v>1298</v>
      </c>
      <c r="J82" s="13">
        <f t="shared" si="3"/>
        <v>1622.5</v>
      </c>
      <c r="K82" s="6"/>
    </row>
    <row r="83" spans="1:11" ht="24" x14ac:dyDescent="0.25">
      <c r="A83" s="3">
        <v>76</v>
      </c>
      <c r="B83" s="14" t="s">
        <v>30</v>
      </c>
      <c r="C83" s="15" t="str">
        <f>"670/2015"</f>
        <v>670/2015</v>
      </c>
      <c r="D83" s="15" t="str">
        <f t="shared" si="2"/>
        <v>VULKAL D.O.O.</v>
      </c>
      <c r="E83" s="16">
        <v>42312</v>
      </c>
      <c r="F83" s="16"/>
      <c r="G83" s="13">
        <v>1298</v>
      </c>
      <c r="H83" s="16"/>
      <c r="I83" s="13">
        <v>1298</v>
      </c>
      <c r="J83" s="13">
        <f t="shared" si="3"/>
        <v>1622.5</v>
      </c>
      <c r="K83" s="6"/>
    </row>
    <row r="84" spans="1:11" ht="24" x14ac:dyDescent="0.25">
      <c r="A84" s="3">
        <v>77</v>
      </c>
      <c r="B84" s="14" t="s">
        <v>30</v>
      </c>
      <c r="C84" s="15" t="str">
        <f>"669/2015"</f>
        <v>669/2015</v>
      </c>
      <c r="D84" s="15" t="str">
        <f t="shared" si="2"/>
        <v>VULKAL D.O.O.</v>
      </c>
      <c r="E84" s="16">
        <v>42312</v>
      </c>
      <c r="F84" s="16"/>
      <c r="G84" s="13">
        <v>250</v>
      </c>
      <c r="H84" s="16"/>
      <c r="I84" s="13">
        <v>250</v>
      </c>
      <c r="J84" s="13">
        <f t="shared" si="3"/>
        <v>312.5</v>
      </c>
      <c r="K84" s="6"/>
    </row>
    <row r="85" spans="1:11" ht="24" x14ac:dyDescent="0.25">
      <c r="A85" s="3">
        <v>78</v>
      </c>
      <c r="B85" s="14" t="s">
        <v>30</v>
      </c>
      <c r="C85" s="15" t="str">
        <f>"667/2015"</f>
        <v>667/2015</v>
      </c>
      <c r="D85" s="15" t="str">
        <f t="shared" si="2"/>
        <v>VULKAL D.O.O.</v>
      </c>
      <c r="E85" s="16">
        <v>42312</v>
      </c>
      <c r="F85" s="16"/>
      <c r="G85" s="13">
        <v>250</v>
      </c>
      <c r="H85" s="16"/>
      <c r="I85" s="13">
        <v>250</v>
      </c>
      <c r="J85" s="13">
        <f t="shared" si="3"/>
        <v>312.5</v>
      </c>
      <c r="K85" s="6"/>
    </row>
    <row r="86" spans="1:11" ht="24" x14ac:dyDescent="0.25">
      <c r="A86" s="3">
        <v>79</v>
      </c>
      <c r="B86" s="14" t="s">
        <v>30</v>
      </c>
      <c r="C86" s="15" t="str">
        <f>"666/2015"</f>
        <v>666/2015</v>
      </c>
      <c r="D86" s="15" t="str">
        <f t="shared" si="2"/>
        <v>VULKAL D.O.O.</v>
      </c>
      <c r="E86" s="16">
        <v>42312</v>
      </c>
      <c r="F86" s="16"/>
      <c r="G86" s="13">
        <v>250</v>
      </c>
      <c r="H86" s="16"/>
      <c r="I86" s="13">
        <v>250</v>
      </c>
      <c r="J86" s="13">
        <f t="shared" si="3"/>
        <v>312.5</v>
      </c>
      <c r="K86" s="6"/>
    </row>
    <row r="87" spans="1:11" ht="24" x14ac:dyDescent="0.25">
      <c r="A87" s="3">
        <v>80</v>
      </c>
      <c r="B87" s="14" t="s">
        <v>30</v>
      </c>
      <c r="C87" s="15" t="str">
        <f>"665/2015"</f>
        <v>665/2015</v>
      </c>
      <c r="D87" s="15" t="str">
        <f t="shared" si="2"/>
        <v>VULKAL D.O.O.</v>
      </c>
      <c r="E87" s="16">
        <v>42312</v>
      </c>
      <c r="F87" s="16"/>
      <c r="G87" s="13">
        <v>1298</v>
      </c>
      <c r="H87" s="16"/>
      <c r="I87" s="13">
        <v>1298</v>
      </c>
      <c r="J87" s="13">
        <f t="shared" si="3"/>
        <v>1622.5</v>
      </c>
      <c r="K87" s="6"/>
    </row>
    <row r="88" spans="1:11" ht="24" x14ac:dyDescent="0.25">
      <c r="A88" s="3">
        <v>81</v>
      </c>
      <c r="B88" s="14" t="s">
        <v>30</v>
      </c>
      <c r="C88" s="15" t="str">
        <f>"000664/2015"</f>
        <v>000664/2015</v>
      </c>
      <c r="D88" s="15" t="str">
        <f t="shared" si="2"/>
        <v>VULKAL D.O.O.</v>
      </c>
      <c r="E88" s="16">
        <v>42312</v>
      </c>
      <c r="F88" s="16"/>
      <c r="G88" s="13">
        <v>250</v>
      </c>
      <c r="H88" s="16"/>
      <c r="I88" s="13">
        <v>250</v>
      </c>
      <c r="J88" s="13">
        <f t="shared" si="3"/>
        <v>312.5</v>
      </c>
      <c r="K88" s="6"/>
    </row>
    <row r="89" spans="1:11" ht="24" x14ac:dyDescent="0.25">
      <c r="A89" s="3">
        <v>82</v>
      </c>
      <c r="B89" s="14" t="s">
        <v>30</v>
      </c>
      <c r="C89" s="15" t="str">
        <f>"000663/2015"</f>
        <v>000663/2015</v>
      </c>
      <c r="D89" s="15" t="str">
        <f t="shared" si="2"/>
        <v>VULKAL D.O.O.</v>
      </c>
      <c r="E89" s="16">
        <v>42312</v>
      </c>
      <c r="F89" s="16"/>
      <c r="G89" s="13">
        <v>190</v>
      </c>
      <c r="H89" s="16"/>
      <c r="I89" s="13">
        <v>190</v>
      </c>
      <c r="J89" s="13">
        <f t="shared" si="3"/>
        <v>237.5</v>
      </c>
      <c r="K89" s="6"/>
    </row>
    <row r="90" spans="1:11" ht="24" x14ac:dyDescent="0.25">
      <c r="A90" s="3">
        <v>83</v>
      </c>
      <c r="B90" s="14" t="s">
        <v>30</v>
      </c>
      <c r="C90" s="15" t="str">
        <f>"662/2015"</f>
        <v>662/2015</v>
      </c>
      <c r="D90" s="15" t="str">
        <f t="shared" si="2"/>
        <v>VULKAL D.O.O.</v>
      </c>
      <c r="E90" s="16">
        <v>42312</v>
      </c>
      <c r="F90" s="16"/>
      <c r="G90" s="13">
        <v>2538</v>
      </c>
      <c r="H90" s="16"/>
      <c r="I90" s="13">
        <v>2538</v>
      </c>
      <c r="J90" s="13">
        <f t="shared" si="3"/>
        <v>3172.5</v>
      </c>
      <c r="K90" s="6"/>
    </row>
    <row r="91" spans="1:11" ht="24" x14ac:dyDescent="0.25">
      <c r="A91" s="3">
        <v>84</v>
      </c>
      <c r="B91" s="14" t="s">
        <v>30</v>
      </c>
      <c r="C91" s="15" t="str">
        <f>"617/2015"</f>
        <v>617/2015</v>
      </c>
      <c r="D91" s="15" t="str">
        <f t="shared" si="2"/>
        <v>VULKAL D.O.O.</v>
      </c>
      <c r="E91" s="16">
        <v>42307</v>
      </c>
      <c r="F91" s="16"/>
      <c r="G91" s="13">
        <v>3438</v>
      </c>
      <c r="H91" s="16"/>
      <c r="I91" s="13">
        <v>3438</v>
      </c>
      <c r="J91" s="13">
        <f t="shared" si="3"/>
        <v>4297.5</v>
      </c>
      <c r="K91" s="6"/>
    </row>
    <row r="92" spans="1:11" x14ac:dyDescent="0.25">
      <c r="A92" s="3">
        <v>85</v>
      </c>
      <c r="B92" s="14" t="s">
        <v>29</v>
      </c>
      <c r="C92" s="15" t="str">
        <f>"13/2013-1 MFIN"</f>
        <v>13/2013-1 MFIN</v>
      </c>
      <c r="D92" s="15" t="str">
        <f t="shared" si="2"/>
        <v>VULKAL D.O.O.</v>
      </c>
      <c r="E92" s="16">
        <v>41837</v>
      </c>
      <c r="F92" s="16"/>
      <c r="G92" s="13">
        <v>0</v>
      </c>
      <c r="H92" s="16"/>
      <c r="I92" s="13">
        <v>20393</v>
      </c>
      <c r="J92" s="13">
        <f t="shared" si="3"/>
        <v>25491.25</v>
      </c>
      <c r="K92" s="6"/>
    </row>
    <row r="93" spans="1:11" ht="24" x14ac:dyDescent="0.25">
      <c r="A93" s="3">
        <v>86</v>
      </c>
      <c r="B93" s="14" t="s">
        <v>55</v>
      </c>
      <c r="C93" s="15" t="str">
        <f>"64-61-14 (13/2013-1)-1-2"</f>
        <v>64-61-14 (13/2013-1)-1-2</v>
      </c>
      <c r="D93" s="15" t="str">
        <f t="shared" si="2"/>
        <v>VULKAL D.O.O.</v>
      </c>
      <c r="E93" s="16">
        <v>42304</v>
      </c>
      <c r="F93" s="16">
        <v>42670</v>
      </c>
      <c r="G93" s="13">
        <v>81722</v>
      </c>
      <c r="H93" s="16">
        <v>42670</v>
      </c>
      <c r="I93" s="13">
        <v>18116</v>
      </c>
      <c r="J93" s="13">
        <f t="shared" si="3"/>
        <v>22645</v>
      </c>
      <c r="K93" s="6"/>
    </row>
    <row r="94" spans="1:11" ht="24" x14ac:dyDescent="0.25">
      <c r="A94" s="3">
        <v>87</v>
      </c>
      <c r="B94" s="14" t="s">
        <v>58</v>
      </c>
      <c r="C94" s="15" t="str">
        <f>"4500010748"</f>
        <v>4500010748</v>
      </c>
      <c r="D94" s="15" t="str">
        <f t="shared" si="2"/>
        <v>VULKAL D.O.O.</v>
      </c>
      <c r="E94" s="16">
        <v>42475</v>
      </c>
      <c r="F94" s="16">
        <v>42300</v>
      </c>
      <c r="G94" s="13">
        <v>8806</v>
      </c>
      <c r="H94" s="16">
        <v>42300</v>
      </c>
      <c r="I94" s="13">
        <v>8806</v>
      </c>
      <c r="J94" s="13">
        <f t="shared" si="3"/>
        <v>11007.5</v>
      </c>
      <c r="K94" s="6"/>
    </row>
    <row r="95" spans="1:11" ht="24" x14ac:dyDescent="0.25">
      <c r="A95" s="3">
        <v>88</v>
      </c>
      <c r="B95" s="14" t="s">
        <v>27</v>
      </c>
      <c r="C95" s="15" t="str">
        <f>"MUP-G1-2015-3"</f>
        <v>MUP-G1-2015-3</v>
      </c>
      <c r="D95" s="15" t="str">
        <f t="shared" si="2"/>
        <v>VULKAL D.O.O.</v>
      </c>
      <c r="E95" s="16">
        <v>42297</v>
      </c>
      <c r="F95" s="16">
        <v>42328</v>
      </c>
      <c r="G95" s="13">
        <v>882816</v>
      </c>
      <c r="H95" s="16">
        <v>42328</v>
      </c>
      <c r="I95" s="13">
        <v>868930</v>
      </c>
      <c r="J95" s="13">
        <f t="shared" si="3"/>
        <v>1086162.5</v>
      </c>
      <c r="K95" s="6"/>
    </row>
    <row r="96" spans="1:11" x14ac:dyDescent="0.25">
      <c r="A96" s="3">
        <v>89</v>
      </c>
      <c r="B96" s="14" t="s">
        <v>54</v>
      </c>
      <c r="C96" s="15" t="str">
        <f>"15R0000573"</f>
        <v>15R0000573</v>
      </c>
      <c r="D96" s="15" t="str">
        <f t="shared" si="2"/>
        <v>VULKAL D.O.O.</v>
      </c>
      <c r="E96" s="16">
        <v>42291</v>
      </c>
      <c r="F96" s="16">
        <v>42297</v>
      </c>
      <c r="G96" s="13">
        <v>3200</v>
      </c>
      <c r="H96" s="16">
        <v>42297</v>
      </c>
      <c r="I96" s="13">
        <v>3105</v>
      </c>
      <c r="J96" s="13">
        <f t="shared" si="3"/>
        <v>3881.25</v>
      </c>
      <c r="K96" s="6"/>
    </row>
    <row r="97" spans="1:11" ht="24" x14ac:dyDescent="0.25">
      <c r="A97" s="3">
        <v>90</v>
      </c>
      <c r="B97" s="14" t="s">
        <v>27</v>
      </c>
      <c r="C97" s="15" t="str">
        <f>"MUP-BR.2-G1-2015"</f>
        <v>MUP-BR.2-G1-2015</v>
      </c>
      <c r="D97" s="15" t="str">
        <f t="shared" si="2"/>
        <v>VULKAL D.O.O.</v>
      </c>
      <c r="E97" s="16">
        <v>42234</v>
      </c>
      <c r="F97" s="16">
        <v>42265</v>
      </c>
      <c r="G97" s="13">
        <v>476514</v>
      </c>
      <c r="H97" s="16">
        <v>42265</v>
      </c>
      <c r="I97" s="13">
        <v>104573</v>
      </c>
      <c r="J97" s="13">
        <f t="shared" si="3"/>
        <v>130716.25</v>
      </c>
      <c r="K97" s="6"/>
    </row>
    <row r="98" spans="1:11" x14ac:dyDescent="0.25">
      <c r="A98" s="3">
        <v>91</v>
      </c>
      <c r="B98" s="14" t="s">
        <v>35</v>
      </c>
      <c r="C98" s="15" t="str">
        <f>"DGU-G1-2015"</f>
        <v>DGU-G1-2015</v>
      </c>
      <c r="D98" s="15" t="str">
        <f t="shared" si="2"/>
        <v>VULKAL D.O.O.</v>
      </c>
      <c r="E98" s="16">
        <v>42157</v>
      </c>
      <c r="F98" s="16">
        <v>42369</v>
      </c>
      <c r="G98" s="13">
        <v>11994</v>
      </c>
      <c r="H98" s="16">
        <v>42369</v>
      </c>
      <c r="I98" s="13">
        <v>5948</v>
      </c>
      <c r="J98" s="13">
        <f t="shared" si="3"/>
        <v>7435</v>
      </c>
      <c r="K98" s="6"/>
    </row>
    <row r="99" spans="1:11" ht="24" x14ac:dyDescent="0.25">
      <c r="A99" s="3">
        <v>92</v>
      </c>
      <c r="B99" s="14" t="s">
        <v>58</v>
      </c>
      <c r="C99" s="15" t="str">
        <f>"4500009879"</f>
        <v>4500009879</v>
      </c>
      <c r="D99" s="15" t="str">
        <f t="shared" si="2"/>
        <v>VULKAL D.O.O.</v>
      </c>
      <c r="E99" s="16">
        <v>42475</v>
      </c>
      <c r="F99" s="16">
        <v>42160</v>
      </c>
      <c r="G99" s="13">
        <v>2134</v>
      </c>
      <c r="H99" s="16">
        <v>42160</v>
      </c>
      <c r="I99" s="13">
        <v>2134</v>
      </c>
      <c r="J99" s="13">
        <f t="shared" si="3"/>
        <v>2667.5</v>
      </c>
      <c r="K99" s="6"/>
    </row>
    <row r="100" spans="1:11" ht="24" x14ac:dyDescent="0.25">
      <c r="A100" s="3">
        <v>93</v>
      </c>
      <c r="B100" s="14" t="s">
        <v>27</v>
      </c>
      <c r="C100" s="15" t="str">
        <f>"MUP-G1-2015"</f>
        <v>MUP-G1-2015</v>
      </c>
      <c r="D100" s="15" t="str">
        <f t="shared" si="2"/>
        <v>VULKAL D.O.O.</v>
      </c>
      <c r="E100" s="16">
        <v>42111</v>
      </c>
      <c r="F100" s="16">
        <v>42141</v>
      </c>
      <c r="G100" s="13">
        <v>379990</v>
      </c>
      <c r="H100" s="16">
        <v>42141</v>
      </c>
      <c r="I100" s="13">
        <v>379680</v>
      </c>
      <c r="J100" s="13">
        <f t="shared" si="3"/>
        <v>474600</v>
      </c>
      <c r="K100" s="6"/>
    </row>
    <row r="101" spans="1:11" x14ac:dyDescent="0.25">
      <c r="A101" s="3">
        <v>94</v>
      </c>
      <c r="B101" s="14" t="s">
        <v>54</v>
      </c>
      <c r="C101" s="15" t="str">
        <f>"15R0000181"</f>
        <v>15R0000181</v>
      </c>
      <c r="D101" s="15" t="str">
        <f t="shared" si="2"/>
        <v>VULKAL D.O.O.</v>
      </c>
      <c r="E101" s="16">
        <v>42087</v>
      </c>
      <c r="F101" s="16">
        <v>42093</v>
      </c>
      <c r="G101" s="13">
        <v>3262</v>
      </c>
      <c r="H101" s="16">
        <v>42093</v>
      </c>
      <c r="I101" s="13">
        <v>3072</v>
      </c>
      <c r="J101" s="13">
        <f t="shared" si="3"/>
        <v>3840</v>
      </c>
      <c r="K101" s="6"/>
    </row>
    <row r="102" spans="1:11" ht="24" x14ac:dyDescent="0.25">
      <c r="A102" s="3">
        <v>95</v>
      </c>
      <c r="B102" s="14" t="s">
        <v>43</v>
      </c>
      <c r="C102" s="15" t="str">
        <f>"MRMS-G1-2015"</f>
        <v>MRMS-G1-2015</v>
      </c>
      <c r="D102" s="15" t="str">
        <f t="shared" si="2"/>
        <v>VULKAL D.O.O.</v>
      </c>
      <c r="E102" s="16">
        <v>41640</v>
      </c>
      <c r="F102" s="16">
        <v>42369</v>
      </c>
      <c r="G102" s="13">
        <v>42484</v>
      </c>
      <c r="H102" s="16">
        <v>42369</v>
      </c>
      <c r="I102" s="13">
        <v>44735.51</v>
      </c>
      <c r="J102" s="13">
        <f t="shared" si="3"/>
        <v>55919.387500000004</v>
      </c>
      <c r="K102" s="6"/>
    </row>
    <row r="103" spans="1:11" ht="24" x14ac:dyDescent="0.25">
      <c r="A103" s="3">
        <v>96</v>
      </c>
      <c r="B103" s="14" t="s">
        <v>27</v>
      </c>
      <c r="C103" s="15" t="str">
        <f>"MUP-BR.4-G1"</f>
        <v>MUP-BR.4-G1</v>
      </c>
      <c r="D103" s="15" t="str">
        <f t="shared" si="2"/>
        <v>VULKAL D.O.O.</v>
      </c>
      <c r="E103" s="16">
        <v>42039</v>
      </c>
      <c r="F103" s="16">
        <v>42067</v>
      </c>
      <c r="G103" s="13">
        <v>185040</v>
      </c>
      <c r="H103" s="16">
        <v>42067</v>
      </c>
      <c r="I103" s="13">
        <v>185040</v>
      </c>
      <c r="J103" s="13">
        <f t="shared" si="3"/>
        <v>231300</v>
      </c>
      <c r="K103" s="6"/>
    </row>
    <row r="104" spans="1:11" x14ac:dyDescent="0.25">
      <c r="A104" s="3">
        <v>97</v>
      </c>
      <c r="B104" s="14" t="s">
        <v>44</v>
      </c>
      <c r="C104" s="15" t="str">
        <f>"PU-G1-2015"</f>
        <v>PU-G1-2015</v>
      </c>
      <c r="D104" s="15" t="str">
        <f t="shared" si="2"/>
        <v>VULKAL D.O.O.</v>
      </c>
      <c r="E104" s="16">
        <v>42031</v>
      </c>
      <c r="F104" s="16">
        <v>42396</v>
      </c>
      <c r="G104" s="13">
        <v>3828</v>
      </c>
      <c r="H104" s="16">
        <v>42396</v>
      </c>
      <c r="I104" s="13">
        <v>15516</v>
      </c>
      <c r="J104" s="13">
        <f t="shared" si="3"/>
        <v>19395</v>
      </c>
      <c r="K104" s="6"/>
    </row>
    <row r="105" spans="1:11" x14ac:dyDescent="0.25">
      <c r="A105" s="3">
        <v>98</v>
      </c>
      <c r="B105" s="14" t="s">
        <v>51</v>
      </c>
      <c r="C105" s="15" t="str">
        <f>"20"</f>
        <v>20</v>
      </c>
      <c r="D105" s="15" t="str">
        <f t="shared" si="2"/>
        <v>VULKAL D.O.O.</v>
      </c>
      <c r="E105" s="16">
        <v>42013</v>
      </c>
      <c r="F105" s="16">
        <v>42369</v>
      </c>
      <c r="G105" s="13">
        <v>255028.58</v>
      </c>
      <c r="H105" s="16">
        <v>42369</v>
      </c>
      <c r="I105" s="13">
        <v>255028.58</v>
      </c>
      <c r="J105" s="13">
        <f t="shared" si="3"/>
        <v>318785.72499999998</v>
      </c>
      <c r="K105" s="6"/>
    </row>
    <row r="106" spans="1:11" ht="24" x14ac:dyDescent="0.25">
      <c r="A106" s="3">
        <v>99</v>
      </c>
      <c r="B106" s="14" t="s">
        <v>62</v>
      </c>
      <c r="C106" s="15" t="str">
        <f>"030-01/14-02/6"</f>
        <v>030-01/14-02/6</v>
      </c>
      <c r="D106" s="15" t="str">
        <f t="shared" si="2"/>
        <v>VULKAL D.O.O.</v>
      </c>
      <c r="E106" s="16">
        <v>42424</v>
      </c>
      <c r="F106" s="16">
        <v>42369</v>
      </c>
      <c r="G106" s="13">
        <v>0</v>
      </c>
      <c r="H106" s="16">
        <v>42369</v>
      </c>
      <c r="I106" s="13">
        <v>11518</v>
      </c>
      <c r="J106" s="13">
        <f t="shared" si="3"/>
        <v>14397.5</v>
      </c>
      <c r="K106" s="6"/>
    </row>
    <row r="107" spans="1:11" x14ac:dyDescent="0.25">
      <c r="A107" s="3">
        <v>100</v>
      </c>
      <c r="B107" s="14" t="s">
        <v>53</v>
      </c>
      <c r="C107" s="15" t="str">
        <f>"13/2013-1-MB"</f>
        <v>13/2013-1-MB</v>
      </c>
      <c r="D107" s="15" t="str">
        <f t="shared" si="2"/>
        <v>VULKAL D.O.O.</v>
      </c>
      <c r="E107" s="16">
        <v>42005</v>
      </c>
      <c r="F107" s="16">
        <v>42369</v>
      </c>
      <c r="G107" s="13">
        <v>0</v>
      </c>
      <c r="H107" s="16">
        <v>42369</v>
      </c>
      <c r="I107" s="13">
        <v>52806.9</v>
      </c>
      <c r="J107" s="13">
        <f t="shared" si="3"/>
        <v>66008.625</v>
      </c>
      <c r="K107" s="6"/>
    </row>
    <row r="108" spans="1:11" ht="24" x14ac:dyDescent="0.25">
      <c r="A108" s="3">
        <v>101</v>
      </c>
      <c r="B108" s="14" t="s">
        <v>27</v>
      </c>
      <c r="C108" s="15" t="str">
        <f>"MUP-BR.3-G1"</f>
        <v>MUP-BR.3-G1</v>
      </c>
      <c r="D108" s="15" t="str">
        <f t="shared" si="2"/>
        <v>VULKAL D.O.O.</v>
      </c>
      <c r="E108" s="16">
        <v>42003</v>
      </c>
      <c r="F108" s="16">
        <v>42034</v>
      </c>
      <c r="G108" s="13">
        <v>4816</v>
      </c>
      <c r="H108" s="16">
        <v>42034</v>
      </c>
      <c r="I108" s="13">
        <v>4816</v>
      </c>
      <c r="J108" s="13">
        <f t="shared" si="3"/>
        <v>6020</v>
      </c>
      <c r="K108" s="6"/>
    </row>
    <row r="109" spans="1:11" ht="24" x14ac:dyDescent="0.25">
      <c r="A109" s="3">
        <v>102</v>
      </c>
      <c r="B109" s="14" t="s">
        <v>61</v>
      </c>
      <c r="C109" s="15" t="str">
        <f>"DZM-G1-2014"</f>
        <v>DZM-G1-2014</v>
      </c>
      <c r="D109" s="15" t="str">
        <f t="shared" si="2"/>
        <v>VULKAL D.O.O.</v>
      </c>
      <c r="E109" s="16">
        <v>41978</v>
      </c>
      <c r="F109" s="16">
        <v>42343</v>
      </c>
      <c r="G109" s="13">
        <v>33168</v>
      </c>
      <c r="H109" s="16">
        <v>42343</v>
      </c>
      <c r="I109" s="13">
        <v>13492</v>
      </c>
      <c r="J109" s="13">
        <f t="shared" si="3"/>
        <v>16865</v>
      </c>
      <c r="K109" s="6"/>
    </row>
    <row r="110" spans="1:11" x14ac:dyDescent="0.25">
      <c r="A110" s="3">
        <v>103</v>
      </c>
      <c r="B110" s="14" t="s">
        <v>33</v>
      </c>
      <c r="C110" s="15" t="str">
        <f>"CU-G1-2014"</f>
        <v>CU-G1-2014</v>
      </c>
      <c r="D110" s="15" t="str">
        <f t="shared" si="2"/>
        <v>VULKAL D.O.O.</v>
      </c>
      <c r="E110" s="16">
        <v>41956</v>
      </c>
      <c r="F110" s="16">
        <v>42321</v>
      </c>
      <c r="G110" s="13">
        <v>35008.5</v>
      </c>
      <c r="H110" s="16">
        <v>42321</v>
      </c>
      <c r="I110" s="13">
        <v>37747.5</v>
      </c>
      <c r="J110" s="13">
        <f t="shared" si="3"/>
        <v>47184.375</v>
      </c>
      <c r="K110" s="6"/>
    </row>
    <row r="111" spans="1:11" x14ac:dyDescent="0.25">
      <c r="A111" s="3">
        <v>104</v>
      </c>
      <c r="B111" s="14" t="s">
        <v>33</v>
      </c>
      <c r="C111" s="15" t="str">
        <f>"CU-G1-2014-2"</f>
        <v>CU-G1-2014-2</v>
      </c>
      <c r="D111" s="15" t="str">
        <f t="shared" si="2"/>
        <v>VULKAL D.O.O.</v>
      </c>
      <c r="E111" s="16">
        <v>41954</v>
      </c>
      <c r="F111" s="16">
        <v>42319</v>
      </c>
      <c r="G111" s="13">
        <v>97320.5</v>
      </c>
      <c r="H111" s="16">
        <v>42319</v>
      </c>
      <c r="I111" s="40">
        <v>0</v>
      </c>
      <c r="J111" s="40">
        <f t="shared" si="3"/>
        <v>0</v>
      </c>
      <c r="K111" s="6"/>
    </row>
    <row r="112" spans="1:11" ht="24" x14ac:dyDescent="0.25">
      <c r="A112" s="3">
        <v>105</v>
      </c>
      <c r="B112" s="14" t="s">
        <v>91</v>
      </c>
      <c r="C112" s="15" t="str">
        <f>"U23/14"</f>
        <v>U23/14</v>
      </c>
      <c r="D112" s="15" t="str">
        <f t="shared" si="2"/>
        <v>VULKAL D.O.O.</v>
      </c>
      <c r="E112" s="16">
        <v>41946</v>
      </c>
      <c r="F112" s="16">
        <v>42311</v>
      </c>
      <c r="G112" s="13">
        <v>45579</v>
      </c>
      <c r="H112" s="16">
        <v>42311</v>
      </c>
      <c r="I112" s="13">
        <v>28318</v>
      </c>
      <c r="J112" s="13">
        <f t="shared" si="3"/>
        <v>35397.5</v>
      </c>
      <c r="K112" s="6"/>
    </row>
    <row r="113" spans="1:11" ht="24" x14ac:dyDescent="0.25">
      <c r="A113" s="3">
        <v>106</v>
      </c>
      <c r="B113" s="14" t="s">
        <v>27</v>
      </c>
      <c r="C113" s="15" t="str">
        <f>"MUP-GRUPA1"</f>
        <v>MUP-GRUPA1</v>
      </c>
      <c r="D113" s="15" t="str">
        <f t="shared" si="2"/>
        <v>VULKAL D.O.O.</v>
      </c>
      <c r="E113" s="16">
        <v>41941</v>
      </c>
      <c r="F113" s="16">
        <v>42337</v>
      </c>
      <c r="G113" s="13">
        <v>546804</v>
      </c>
      <c r="H113" s="16">
        <v>42337</v>
      </c>
      <c r="I113" s="13">
        <v>546804</v>
      </c>
      <c r="J113" s="13">
        <f t="shared" si="3"/>
        <v>683505</v>
      </c>
      <c r="K113" s="6"/>
    </row>
    <row r="114" spans="1:11" x14ac:dyDescent="0.25">
      <c r="A114" s="3">
        <v>107</v>
      </c>
      <c r="B114" s="14" t="s">
        <v>90</v>
      </c>
      <c r="C114" s="15" t="str">
        <f>"U-17-MV/14"</f>
        <v>U-17-MV/14</v>
      </c>
      <c r="D114" s="15" t="str">
        <f t="shared" si="2"/>
        <v>VULKAL D.O.O.</v>
      </c>
      <c r="E114" s="16">
        <v>41940</v>
      </c>
      <c r="F114" s="16">
        <v>42307</v>
      </c>
      <c r="G114" s="13">
        <v>79984</v>
      </c>
      <c r="H114" s="16">
        <v>42307</v>
      </c>
      <c r="I114" s="13">
        <v>39254</v>
      </c>
      <c r="J114" s="13">
        <f t="shared" si="3"/>
        <v>49067.5</v>
      </c>
      <c r="K114" s="6"/>
    </row>
    <row r="115" spans="1:11" x14ac:dyDescent="0.25">
      <c r="A115" s="3">
        <v>108</v>
      </c>
      <c r="B115" s="14" t="s">
        <v>36</v>
      </c>
      <c r="C115" s="15" t="str">
        <f>"GRUPA 1"</f>
        <v>GRUPA 1</v>
      </c>
      <c r="D115" s="15" t="str">
        <f t="shared" si="2"/>
        <v>VULKAL D.O.O.</v>
      </c>
      <c r="E115" s="16">
        <v>41939</v>
      </c>
      <c r="F115" s="16">
        <v>42369</v>
      </c>
      <c r="G115" s="13">
        <v>76632.5</v>
      </c>
      <c r="H115" s="16">
        <v>42369</v>
      </c>
      <c r="I115" s="13">
        <v>40483</v>
      </c>
      <c r="J115" s="13">
        <f t="shared" si="3"/>
        <v>50603.75</v>
      </c>
      <c r="K115" s="6"/>
    </row>
    <row r="116" spans="1:11" ht="36" x14ac:dyDescent="0.25">
      <c r="A116" s="3">
        <v>109</v>
      </c>
      <c r="B116" s="14" t="s">
        <v>55</v>
      </c>
      <c r="C116" s="15" t="str">
        <f>"64-61-14(13/2013-1)-1-1"</f>
        <v>64-61-14(13/2013-1)-1-1</v>
      </c>
      <c r="D116" s="15" t="str">
        <f t="shared" si="2"/>
        <v>VULKAL D.O.O.</v>
      </c>
      <c r="E116" s="16">
        <v>41919</v>
      </c>
      <c r="F116" s="16">
        <v>42284</v>
      </c>
      <c r="G116" s="13">
        <v>163298</v>
      </c>
      <c r="H116" s="16">
        <v>42284</v>
      </c>
      <c r="I116" s="13">
        <v>27292</v>
      </c>
      <c r="J116" s="13">
        <f t="shared" si="3"/>
        <v>34115</v>
      </c>
      <c r="K116" s="6"/>
    </row>
    <row r="117" spans="1:11" ht="7.5" customHeight="1" x14ac:dyDescent="0.25"/>
    <row r="118" spans="1:11" ht="42" customHeight="1" x14ac:dyDescent="0.25">
      <c r="A118" s="1" t="s">
        <v>0</v>
      </c>
      <c r="B118" s="2" t="s">
        <v>1</v>
      </c>
      <c r="C118" s="2" t="s">
        <v>6</v>
      </c>
      <c r="D118" s="2" t="s">
        <v>2</v>
      </c>
      <c r="E118" s="2" t="s">
        <v>3</v>
      </c>
      <c r="F118" s="2" t="s">
        <v>7</v>
      </c>
      <c r="G118" s="2" t="s">
        <v>8</v>
      </c>
      <c r="H118" s="2" t="s">
        <v>4</v>
      </c>
      <c r="I118" s="2" t="s">
        <v>5</v>
      </c>
    </row>
    <row r="119" spans="1:11" x14ac:dyDescent="0.25">
      <c r="A119" s="3">
        <v>1</v>
      </c>
      <c r="B119" s="6" t="s">
        <v>669</v>
      </c>
      <c r="C119" s="3" t="s">
        <v>119</v>
      </c>
      <c r="D119" s="3" t="s">
        <v>696</v>
      </c>
      <c r="E119" s="3" t="s">
        <v>24</v>
      </c>
      <c r="F119" s="21">
        <v>41843</v>
      </c>
      <c r="G119" s="3" t="s">
        <v>670</v>
      </c>
      <c r="H119" s="13">
        <v>2800000</v>
      </c>
      <c r="I119" s="13">
        <v>2644917.33</v>
      </c>
    </row>
    <row r="120" spans="1:11" x14ac:dyDescent="0.25">
      <c r="A120" s="42" t="s">
        <v>706</v>
      </c>
      <c r="B120" s="43"/>
      <c r="C120" s="43"/>
      <c r="D120" s="43"/>
      <c r="E120" s="43"/>
      <c r="F120" s="43"/>
      <c r="G120" s="43"/>
      <c r="H120" s="44"/>
      <c r="I120" s="13">
        <v>513169.3</v>
      </c>
    </row>
    <row r="121" spans="1:11" ht="7.5" customHeight="1" x14ac:dyDescent="0.25"/>
    <row r="122" spans="1:11" x14ac:dyDescent="0.25">
      <c r="A122" s="46" t="s">
        <v>20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1:11" ht="63.75" customHeight="1" x14ac:dyDescent="0.25">
      <c r="A123" s="4" t="s">
        <v>0</v>
      </c>
      <c r="B123" s="5" t="s">
        <v>10</v>
      </c>
      <c r="C123" s="5" t="s">
        <v>9</v>
      </c>
      <c r="D123" s="5" t="s">
        <v>13</v>
      </c>
      <c r="E123" s="5" t="s">
        <v>12</v>
      </c>
      <c r="F123" s="5" t="s">
        <v>11</v>
      </c>
      <c r="G123" s="5" t="s">
        <v>18</v>
      </c>
      <c r="H123" s="5" t="s">
        <v>14</v>
      </c>
      <c r="I123" s="5" t="s">
        <v>15</v>
      </c>
      <c r="J123" s="5" t="s">
        <v>16</v>
      </c>
      <c r="K123" s="5" t="s">
        <v>17</v>
      </c>
    </row>
    <row r="124" spans="1:11" ht="24" x14ac:dyDescent="0.25">
      <c r="A124" s="3">
        <v>1</v>
      </c>
      <c r="B124" s="14" t="s">
        <v>28</v>
      </c>
      <c r="C124" s="15" t="str">
        <f>"MGPU 13/2013-2"</f>
        <v>MGPU 13/2013-2</v>
      </c>
      <c r="D124" s="15" t="str">
        <f>CONCATENATE("PNEUMATIK D.O.O.")</f>
        <v>PNEUMATIK D.O.O.</v>
      </c>
      <c r="E124" s="16">
        <v>41976</v>
      </c>
      <c r="F124" s="16">
        <v>42369</v>
      </c>
      <c r="G124" s="13">
        <v>10500</v>
      </c>
      <c r="H124" s="16">
        <v>42369</v>
      </c>
      <c r="I124" s="13">
        <v>5440</v>
      </c>
      <c r="J124" s="13">
        <f>I124*1.25</f>
        <v>6800</v>
      </c>
      <c r="K124" s="6"/>
    </row>
    <row r="125" spans="1:11" ht="24" x14ac:dyDescent="0.25">
      <c r="A125" s="3">
        <v>2</v>
      </c>
      <c r="B125" s="14" t="s">
        <v>42</v>
      </c>
      <c r="C125" s="15" t="str">
        <f>"SNUG-201-15-0057"</f>
        <v>SNUG-201-15-0057</v>
      </c>
      <c r="D125" s="15" t="str">
        <f>CONCATENATE("PNEUMATIK D.O.O.")</f>
        <v>PNEUMATIK D.O.O.</v>
      </c>
      <c r="E125" s="16">
        <v>42303</v>
      </c>
      <c r="F125" s="16">
        <v>42369</v>
      </c>
      <c r="G125" s="13">
        <v>41062</v>
      </c>
      <c r="H125" s="16">
        <v>42369</v>
      </c>
      <c r="I125" s="13">
        <v>41062</v>
      </c>
      <c r="J125" s="13">
        <f t="shared" ref="J125:J140" si="4">I125*1.25</f>
        <v>51327.5</v>
      </c>
      <c r="K125" s="6"/>
    </row>
    <row r="126" spans="1:11" ht="24" x14ac:dyDescent="0.25">
      <c r="A126" s="3">
        <v>3</v>
      </c>
      <c r="B126" s="14" t="s">
        <v>42</v>
      </c>
      <c r="C126" s="15" t="str">
        <f>"SNUG-201-15-0030"</f>
        <v>SNUG-201-15-0030</v>
      </c>
      <c r="D126" s="15" t="str">
        <f>CONCATENATE("PNEUMATIK D.O.O.")</f>
        <v>PNEUMATIK D.O.O.</v>
      </c>
      <c r="E126" s="16">
        <v>42108</v>
      </c>
      <c r="F126" s="16">
        <v>42369</v>
      </c>
      <c r="G126" s="13">
        <v>19900</v>
      </c>
      <c r="H126" s="16">
        <v>42369</v>
      </c>
      <c r="I126" s="13">
        <v>19900</v>
      </c>
      <c r="J126" s="13">
        <f t="shared" si="4"/>
        <v>24875</v>
      </c>
      <c r="K126" s="6"/>
    </row>
    <row r="127" spans="1:11" ht="24" x14ac:dyDescent="0.25">
      <c r="A127" s="3">
        <v>4</v>
      </c>
      <c r="B127" s="14" t="s">
        <v>42</v>
      </c>
      <c r="C127" s="15" t="str">
        <f>"SNUG-201-15-0018"</f>
        <v>SNUG-201-15-0018</v>
      </c>
      <c r="D127" s="15" t="str">
        <f>CONCATENATE("GUMIIMPEX - GRP D.D.")</f>
        <v>GUMIIMPEX - GRP D.D.</v>
      </c>
      <c r="E127" s="16">
        <v>42108</v>
      </c>
      <c r="F127" s="16">
        <v>42369</v>
      </c>
      <c r="G127" s="13">
        <v>38466</v>
      </c>
      <c r="H127" s="16">
        <v>42369</v>
      </c>
      <c r="I127" s="13">
        <v>39258</v>
      </c>
      <c r="J127" s="13">
        <f t="shared" si="4"/>
        <v>49072.5</v>
      </c>
      <c r="K127" s="6"/>
    </row>
    <row r="128" spans="1:11" x14ac:dyDescent="0.25">
      <c r="A128" s="3">
        <v>5</v>
      </c>
      <c r="B128" s="14" t="s">
        <v>33</v>
      </c>
      <c r="C128" s="15" t="str">
        <f>"CU-G2-2014"</f>
        <v>CU-G2-2014</v>
      </c>
      <c r="D128" s="15" t="str">
        <f>CONCATENATE("PNEUMATIK D.O.O.")</f>
        <v>PNEUMATIK D.O.O.</v>
      </c>
      <c r="E128" s="16">
        <v>41963</v>
      </c>
      <c r="F128" s="16"/>
      <c r="G128" s="13">
        <v>22788</v>
      </c>
      <c r="H128" s="16"/>
      <c r="I128" s="13">
        <v>22788</v>
      </c>
      <c r="J128" s="13">
        <f t="shared" si="4"/>
        <v>28485</v>
      </c>
      <c r="K128" s="6"/>
    </row>
    <row r="129" spans="1:11" ht="24" x14ac:dyDescent="0.25">
      <c r="A129" s="3">
        <v>6</v>
      </c>
      <c r="B129" s="14" t="s">
        <v>43</v>
      </c>
      <c r="C129" s="15" t="str">
        <f>"MRMS-G2-2015"</f>
        <v>MRMS-G2-2015</v>
      </c>
      <c r="D129" s="15" t="str">
        <f>CONCATENATE("PNEUMATIK D.O.O.")</f>
        <v>PNEUMATIK D.O.O.</v>
      </c>
      <c r="E129" s="16">
        <v>42117</v>
      </c>
      <c r="F129" s="16"/>
      <c r="G129" s="13">
        <v>8180</v>
      </c>
      <c r="H129" s="16"/>
      <c r="I129" s="13">
        <v>8180</v>
      </c>
      <c r="J129" s="13">
        <f t="shared" si="4"/>
        <v>10225</v>
      </c>
      <c r="K129" s="6"/>
    </row>
    <row r="130" spans="1:11" ht="24" x14ac:dyDescent="0.25">
      <c r="A130" s="3">
        <v>7</v>
      </c>
      <c r="B130" s="14" t="s">
        <v>42</v>
      </c>
      <c r="C130" s="15" t="str">
        <f>"SNUG-201-15-0017"</f>
        <v>SNUG-201-15-0017</v>
      </c>
      <c r="D130" s="15" t="str">
        <f>CONCATENATE("PNEUMATIK D.O.O.")</f>
        <v>PNEUMATIK D.O.O.</v>
      </c>
      <c r="E130" s="16">
        <v>42108</v>
      </c>
      <c r="F130" s="16">
        <v>42369</v>
      </c>
      <c r="G130" s="13">
        <v>23960</v>
      </c>
      <c r="H130" s="16">
        <v>42369</v>
      </c>
      <c r="I130" s="13">
        <v>25120</v>
      </c>
      <c r="J130" s="13">
        <f t="shared" si="4"/>
        <v>31400</v>
      </c>
      <c r="K130" s="6"/>
    </row>
    <row r="131" spans="1:11" ht="24" x14ac:dyDescent="0.25">
      <c r="A131" s="3">
        <v>8</v>
      </c>
      <c r="B131" s="14" t="s">
        <v>27</v>
      </c>
      <c r="C131" s="15" t="str">
        <f>"MUP-G2-2015-2"</f>
        <v>MUP-G2-2015-2</v>
      </c>
      <c r="D131" s="15" t="str">
        <f>CONCATENATE("GUMIIMPEX - GRP D.D.")</f>
        <v>GUMIIMPEX - GRP D.D.</v>
      </c>
      <c r="E131" s="16">
        <v>42305</v>
      </c>
      <c r="F131" s="16">
        <v>42336</v>
      </c>
      <c r="G131" s="13">
        <v>203688</v>
      </c>
      <c r="H131" s="16">
        <v>42336</v>
      </c>
      <c r="I131" s="13">
        <v>254541.7</v>
      </c>
      <c r="J131" s="13">
        <f t="shared" si="4"/>
        <v>318177.125</v>
      </c>
      <c r="K131" s="6"/>
    </row>
    <row r="132" spans="1:11" ht="108" x14ac:dyDescent="0.25">
      <c r="A132" s="3">
        <v>9</v>
      </c>
      <c r="B132" s="14" t="s">
        <v>55</v>
      </c>
      <c r="C132" s="15" t="str">
        <f>"64-61-14 (13/2013-2)-2-2"</f>
        <v>64-61-14 (13/2013-2)-2-2</v>
      </c>
      <c r="D132" s="15" t="str">
        <f>CONCATENATE("1. Zajednica ponuditelja: ",CHAR(10),"    AUTO HRVATSKA AUTODIJELOVI D.O.O.",CHAR(10),"    AUTO HRVATSKA AUTOSERVISI D.O.O.",CHAR(10),"    AUTO HRVATSKA PRODAJNO SERVISNI CENTRI D.O.O.")</f>
        <v>1. Zajednica ponuditelja: 
    AUTO HRVATSKA AUTODIJELOVI D.O.O.
    AUTO HRVATSKA AUTOSERVISI D.O.O.
    AUTO HRVATSKA PRODAJNO SERVISNI CENTRI D.O.O.</v>
      </c>
      <c r="E132" s="16">
        <v>42304</v>
      </c>
      <c r="F132" s="16">
        <v>42670</v>
      </c>
      <c r="G132" s="13">
        <v>16420.8</v>
      </c>
      <c r="H132" s="16">
        <v>42670</v>
      </c>
      <c r="I132" s="13">
        <v>3710.4</v>
      </c>
      <c r="J132" s="13">
        <f t="shared" si="4"/>
        <v>4638</v>
      </c>
      <c r="K132" s="6"/>
    </row>
    <row r="133" spans="1:11" x14ac:dyDescent="0.25">
      <c r="A133" s="3">
        <v>10</v>
      </c>
      <c r="B133" s="14" t="s">
        <v>35</v>
      </c>
      <c r="C133" s="15" t="str">
        <f>"DGU-G2-2015"</f>
        <v>DGU-G2-2015</v>
      </c>
      <c r="D133" s="15" t="str">
        <f>CONCATENATE("PNEUMATIK D.O.O.")</f>
        <v>PNEUMATIK D.O.O.</v>
      </c>
      <c r="E133" s="16">
        <v>42157</v>
      </c>
      <c r="F133" s="16">
        <v>42369</v>
      </c>
      <c r="G133" s="13">
        <v>6644</v>
      </c>
      <c r="H133" s="16">
        <v>42369</v>
      </c>
      <c r="I133" s="13">
        <v>5528</v>
      </c>
      <c r="J133" s="13">
        <f t="shared" si="4"/>
        <v>6910</v>
      </c>
      <c r="K133" s="6"/>
    </row>
    <row r="134" spans="1:11" ht="24" x14ac:dyDescent="0.25">
      <c r="A134" s="3">
        <v>11</v>
      </c>
      <c r="B134" s="14" t="s">
        <v>27</v>
      </c>
      <c r="C134" s="15" t="str">
        <f>"MUP-G2-2015"</f>
        <v>MUP-G2-2015</v>
      </c>
      <c r="D134" s="15" t="str">
        <f>CONCATENATE("PNEUMATIK D.O.O.")</f>
        <v>PNEUMATIK D.O.O.</v>
      </c>
      <c r="E134" s="16">
        <v>42114</v>
      </c>
      <c r="F134" s="16">
        <v>42144</v>
      </c>
      <c r="G134" s="13">
        <v>52922</v>
      </c>
      <c r="H134" s="16">
        <v>42144</v>
      </c>
      <c r="I134" s="13">
        <v>55954</v>
      </c>
      <c r="J134" s="13">
        <f t="shared" si="4"/>
        <v>69942.5</v>
      </c>
      <c r="K134" s="6"/>
    </row>
    <row r="135" spans="1:11" x14ac:dyDescent="0.25">
      <c r="A135" s="3">
        <v>12</v>
      </c>
      <c r="B135" s="14" t="s">
        <v>44</v>
      </c>
      <c r="C135" s="15" t="str">
        <f>"PU-G2-2015"</f>
        <v>PU-G2-2015</v>
      </c>
      <c r="D135" s="15" t="str">
        <f>CONCATENATE("PNEUMATIK D.O.O.")</f>
        <v>PNEUMATIK D.O.O.</v>
      </c>
      <c r="E135" s="16">
        <v>42032</v>
      </c>
      <c r="F135" s="16">
        <v>42397</v>
      </c>
      <c r="G135" s="13">
        <v>5292</v>
      </c>
      <c r="H135" s="16">
        <v>42397</v>
      </c>
      <c r="I135" s="13">
        <v>5512</v>
      </c>
      <c r="J135" s="13">
        <f t="shared" si="4"/>
        <v>6890</v>
      </c>
      <c r="K135" s="6"/>
    </row>
    <row r="136" spans="1:11" ht="24" x14ac:dyDescent="0.25">
      <c r="A136" s="3">
        <v>13</v>
      </c>
      <c r="B136" s="14" t="s">
        <v>45</v>
      </c>
      <c r="C136" s="15" t="str">
        <f>"MZOP-G2-2014"</f>
        <v>MZOP-G2-2014</v>
      </c>
      <c r="D136" s="15" t="str">
        <f>CONCATENATE("PNEUMATIK D.O.O.")</f>
        <v>PNEUMATIK D.O.O.</v>
      </c>
      <c r="E136" s="16">
        <v>41975</v>
      </c>
      <c r="F136" s="16">
        <v>42340</v>
      </c>
      <c r="G136" s="13">
        <v>12544</v>
      </c>
      <c r="H136" s="16">
        <v>42340</v>
      </c>
      <c r="I136" s="13">
        <v>7944</v>
      </c>
      <c r="J136" s="13">
        <f t="shared" si="4"/>
        <v>9930</v>
      </c>
      <c r="K136" s="6"/>
    </row>
    <row r="137" spans="1:11" ht="24" x14ac:dyDescent="0.25">
      <c r="A137" s="3">
        <v>14</v>
      </c>
      <c r="B137" s="14" t="s">
        <v>61</v>
      </c>
      <c r="C137" s="15" t="str">
        <f>"DZM-G2-2014"</f>
        <v>DZM-G2-2014</v>
      </c>
      <c r="D137" s="15" t="str">
        <f>CONCATENATE("PNEUMATIK D.O.O.")</f>
        <v>PNEUMATIK D.O.O.</v>
      </c>
      <c r="E137" s="16">
        <v>41954</v>
      </c>
      <c r="F137" s="16">
        <v>42319</v>
      </c>
      <c r="G137" s="13">
        <v>9488</v>
      </c>
      <c r="H137" s="16">
        <v>42319</v>
      </c>
      <c r="I137" s="13">
        <v>9471.2000000000007</v>
      </c>
      <c r="J137" s="13">
        <f t="shared" si="4"/>
        <v>11839</v>
      </c>
      <c r="K137" s="6"/>
    </row>
    <row r="138" spans="1:11" ht="24" x14ac:dyDescent="0.25">
      <c r="A138" s="3">
        <v>15</v>
      </c>
      <c r="B138" s="14" t="s">
        <v>90</v>
      </c>
      <c r="C138" s="15" t="str">
        <f>"U-18-MV/14"</f>
        <v>U-18-MV/14</v>
      </c>
      <c r="D138" s="15" t="str">
        <f>CONCATENATE("AUTO HRVATSKA AUTODIJELOVI D.O.O.")</f>
        <v>AUTO HRVATSKA AUTODIJELOVI D.O.O.</v>
      </c>
      <c r="E138" s="16">
        <v>41941</v>
      </c>
      <c r="F138" s="16">
        <v>42307</v>
      </c>
      <c r="G138" s="13">
        <v>4064</v>
      </c>
      <c r="H138" s="16">
        <v>42307</v>
      </c>
      <c r="I138" s="13">
        <v>2032</v>
      </c>
      <c r="J138" s="13">
        <f t="shared" si="4"/>
        <v>2540</v>
      </c>
      <c r="K138" s="6"/>
    </row>
    <row r="139" spans="1:11" x14ac:dyDescent="0.25">
      <c r="A139" s="3">
        <v>16</v>
      </c>
      <c r="B139" s="14" t="s">
        <v>36</v>
      </c>
      <c r="C139" s="15" t="str">
        <f>"MIZ-G2-2014"</f>
        <v>MIZ-G2-2014</v>
      </c>
      <c r="D139" s="15" t="str">
        <f>CONCATENATE("PNEUMATIK D.O.O.")</f>
        <v>PNEUMATIK D.O.O.</v>
      </c>
      <c r="E139" s="16">
        <v>41939</v>
      </c>
      <c r="F139" s="16">
        <v>42369</v>
      </c>
      <c r="G139" s="13">
        <v>7176</v>
      </c>
      <c r="H139" s="16">
        <v>42369</v>
      </c>
      <c r="I139" s="13">
        <v>4468</v>
      </c>
      <c r="J139" s="13">
        <f t="shared" si="4"/>
        <v>5585</v>
      </c>
      <c r="K139" s="6"/>
    </row>
    <row r="140" spans="1:11" ht="24" x14ac:dyDescent="0.25">
      <c r="A140" s="3">
        <v>17</v>
      </c>
      <c r="B140" s="14" t="s">
        <v>55</v>
      </c>
      <c r="C140" s="15" t="str">
        <f>"64-61-14 (13/2013-2)-2-1"</f>
        <v>64-61-14 (13/2013-2)-2-1</v>
      </c>
      <c r="D140" s="15" t="str">
        <f>CONCATENATE("PNEUMATIK D.O.O.")</f>
        <v>PNEUMATIK D.O.O.</v>
      </c>
      <c r="E140" s="16">
        <v>41919</v>
      </c>
      <c r="F140" s="16">
        <v>42284</v>
      </c>
      <c r="G140" s="13">
        <v>29260</v>
      </c>
      <c r="H140" s="16">
        <v>42284</v>
      </c>
      <c r="I140" s="13">
        <v>2260</v>
      </c>
      <c r="J140" s="13">
        <f t="shared" si="4"/>
        <v>2825</v>
      </c>
      <c r="K140" s="6"/>
    </row>
    <row r="141" spans="1:11" ht="7.5" customHeight="1" x14ac:dyDescent="0.25"/>
    <row r="142" spans="1:11" ht="42" customHeight="1" x14ac:dyDescent="0.25">
      <c r="A142" s="1" t="s">
        <v>0</v>
      </c>
      <c r="B142" s="2" t="s">
        <v>1</v>
      </c>
      <c r="C142" s="2" t="s">
        <v>6</v>
      </c>
      <c r="D142" s="2" t="s">
        <v>2</v>
      </c>
      <c r="E142" s="2" t="s">
        <v>3</v>
      </c>
      <c r="F142" s="2" t="s">
        <v>7</v>
      </c>
      <c r="G142" s="2" t="s">
        <v>8</v>
      </c>
      <c r="H142" s="2" t="s">
        <v>4</v>
      </c>
      <c r="I142" s="2" t="s">
        <v>5</v>
      </c>
    </row>
    <row r="143" spans="1:11" x14ac:dyDescent="0.25">
      <c r="A143" s="3">
        <v>1</v>
      </c>
      <c r="B143" s="6" t="s">
        <v>669</v>
      </c>
      <c r="C143" s="3" t="s">
        <v>120</v>
      </c>
      <c r="D143" s="3" t="s">
        <v>696</v>
      </c>
      <c r="E143" s="3" t="s">
        <v>24</v>
      </c>
      <c r="F143" s="21">
        <v>41843</v>
      </c>
      <c r="G143" s="3" t="s">
        <v>670</v>
      </c>
      <c r="H143" s="13">
        <v>3000000</v>
      </c>
      <c r="I143" s="13">
        <v>2843113.33</v>
      </c>
    </row>
    <row r="144" spans="1:11" x14ac:dyDescent="0.25">
      <c r="A144" s="42" t="s">
        <v>706</v>
      </c>
      <c r="B144" s="43"/>
      <c r="C144" s="43"/>
      <c r="D144" s="43"/>
      <c r="E144" s="43"/>
      <c r="F144" s="43"/>
      <c r="G144" s="43"/>
      <c r="H144" s="44"/>
      <c r="I144" s="13">
        <v>311610.59999999998</v>
      </c>
    </row>
    <row r="145" spans="1:11" ht="7.5" customHeight="1" x14ac:dyDescent="0.25"/>
    <row r="146" spans="1:11" x14ac:dyDescent="0.25">
      <c r="A146" s="46" t="s">
        <v>20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1:11" ht="63.75" customHeight="1" x14ac:dyDescent="0.25">
      <c r="A147" s="4" t="s">
        <v>0</v>
      </c>
      <c r="B147" s="5" t="s">
        <v>10</v>
      </c>
      <c r="C147" s="5" t="s">
        <v>9</v>
      </c>
      <c r="D147" s="5" t="s">
        <v>13</v>
      </c>
      <c r="E147" s="5" t="s">
        <v>12</v>
      </c>
      <c r="F147" s="5" t="s">
        <v>11</v>
      </c>
      <c r="G147" s="5" t="s">
        <v>18</v>
      </c>
      <c r="H147" s="5" t="s">
        <v>14</v>
      </c>
      <c r="I147" s="5" t="s">
        <v>15</v>
      </c>
      <c r="J147" s="5" t="s">
        <v>16</v>
      </c>
      <c r="K147" s="5" t="s">
        <v>17</v>
      </c>
    </row>
    <row r="148" spans="1:11" ht="24" x14ac:dyDescent="0.25">
      <c r="A148" s="3">
        <v>1</v>
      </c>
      <c r="B148" s="14" t="s">
        <v>42</v>
      </c>
      <c r="C148" s="15" t="str">
        <f>"SNUG-201-15-0058"</f>
        <v>SNUG-201-15-0058</v>
      </c>
      <c r="D148" s="15" t="str">
        <f t="shared" ref="D148:D159" si="5">CONCATENATE("PNEUMATIK D.O.O.")</f>
        <v>PNEUMATIK D.O.O.</v>
      </c>
      <c r="E148" s="16">
        <v>42303</v>
      </c>
      <c r="F148" s="16">
        <v>42369</v>
      </c>
      <c r="G148" s="13">
        <v>3825</v>
      </c>
      <c r="H148" s="16">
        <v>42369</v>
      </c>
      <c r="I148" s="13">
        <v>5825</v>
      </c>
      <c r="J148" s="13">
        <f>I148*1.25</f>
        <v>7281.25</v>
      </c>
      <c r="K148" s="6"/>
    </row>
    <row r="149" spans="1:11" ht="24" x14ac:dyDescent="0.25">
      <c r="A149" s="3">
        <v>2</v>
      </c>
      <c r="B149" s="14" t="s">
        <v>43</v>
      </c>
      <c r="C149" s="15" t="str">
        <f>"MRMS-G3-2015"</f>
        <v>MRMS-G3-2015</v>
      </c>
      <c r="D149" s="15" t="str">
        <f t="shared" si="5"/>
        <v>PNEUMATIK D.O.O.</v>
      </c>
      <c r="E149" s="16">
        <v>42117</v>
      </c>
      <c r="F149" s="16"/>
      <c r="G149" s="13">
        <v>7100</v>
      </c>
      <c r="H149" s="16"/>
      <c r="I149" s="13">
        <v>7100</v>
      </c>
      <c r="J149" s="13">
        <f t="shared" ref="J149:J159" si="6">I149*1.25</f>
        <v>8875</v>
      </c>
      <c r="K149" s="6"/>
    </row>
    <row r="150" spans="1:11" ht="24" x14ac:dyDescent="0.25">
      <c r="A150" s="3">
        <v>3</v>
      </c>
      <c r="B150" s="14" t="s">
        <v>28</v>
      </c>
      <c r="C150" s="15" t="str">
        <f>"MGPU 13/2013-3"</f>
        <v>MGPU 13/2013-3</v>
      </c>
      <c r="D150" s="15" t="str">
        <f t="shared" si="5"/>
        <v>PNEUMATIK D.O.O.</v>
      </c>
      <c r="E150" s="16">
        <v>41976</v>
      </c>
      <c r="F150" s="16">
        <v>42369</v>
      </c>
      <c r="G150" s="13">
        <v>39880</v>
      </c>
      <c r="H150" s="16">
        <v>42369</v>
      </c>
      <c r="I150" s="13">
        <v>28400</v>
      </c>
      <c r="J150" s="13">
        <f t="shared" si="6"/>
        <v>35500</v>
      </c>
      <c r="K150" s="6"/>
    </row>
    <row r="151" spans="1:11" ht="24" x14ac:dyDescent="0.25">
      <c r="A151" s="3">
        <v>4</v>
      </c>
      <c r="B151" s="14" t="s">
        <v>27</v>
      </c>
      <c r="C151" s="15" t="str">
        <f>"MUP-G3-2015-3"</f>
        <v>MUP-G3-2015-3</v>
      </c>
      <c r="D151" s="15" t="str">
        <f t="shared" si="5"/>
        <v>PNEUMATIK D.O.O.</v>
      </c>
      <c r="E151" s="16">
        <v>42312</v>
      </c>
      <c r="F151" s="16">
        <v>42342</v>
      </c>
      <c r="G151" s="13">
        <v>27448</v>
      </c>
      <c r="H151" s="16">
        <v>42342</v>
      </c>
      <c r="I151" s="13">
        <v>27448</v>
      </c>
      <c r="J151" s="13">
        <f t="shared" si="6"/>
        <v>34310</v>
      </c>
      <c r="K151" s="6"/>
    </row>
    <row r="152" spans="1:11" ht="24" x14ac:dyDescent="0.25">
      <c r="A152" s="3">
        <v>5</v>
      </c>
      <c r="B152" s="14" t="s">
        <v>55</v>
      </c>
      <c r="C152" s="15" t="str">
        <f>"64-61-14 (13/2013-3)-3-2"</f>
        <v>64-61-14 (13/2013-3)-3-2</v>
      </c>
      <c r="D152" s="15" t="str">
        <f t="shared" si="5"/>
        <v>PNEUMATIK D.O.O.</v>
      </c>
      <c r="E152" s="16">
        <v>42304</v>
      </c>
      <c r="F152" s="16">
        <v>42670</v>
      </c>
      <c r="G152" s="13">
        <v>22246</v>
      </c>
      <c r="H152" s="16">
        <v>42670</v>
      </c>
      <c r="I152" s="13">
        <v>0</v>
      </c>
      <c r="J152" s="13">
        <f t="shared" si="6"/>
        <v>0</v>
      </c>
      <c r="K152" s="6"/>
    </row>
    <row r="153" spans="1:11" ht="24" x14ac:dyDescent="0.25">
      <c r="A153" s="3">
        <v>6</v>
      </c>
      <c r="B153" s="14" t="s">
        <v>27</v>
      </c>
      <c r="C153" s="15" t="str">
        <f>"MUP-G3-2015-2"</f>
        <v>MUP-G3-2015-2</v>
      </c>
      <c r="D153" s="15" t="str">
        <f t="shared" si="5"/>
        <v>PNEUMATIK D.O.O.</v>
      </c>
      <c r="E153" s="16">
        <v>42297</v>
      </c>
      <c r="F153" s="16">
        <v>42328</v>
      </c>
      <c r="G153" s="13">
        <v>184932</v>
      </c>
      <c r="H153" s="16">
        <v>42328</v>
      </c>
      <c r="I153" s="13">
        <v>179866.4</v>
      </c>
      <c r="J153" s="13">
        <f t="shared" si="6"/>
        <v>224833</v>
      </c>
      <c r="K153" s="6"/>
    </row>
    <row r="154" spans="1:11" x14ac:dyDescent="0.25">
      <c r="A154" s="3">
        <v>7</v>
      </c>
      <c r="B154" s="14" t="s">
        <v>35</v>
      </c>
      <c r="C154" s="15" t="str">
        <f>"DGU-G3-2015"</f>
        <v>DGU-G3-2015</v>
      </c>
      <c r="D154" s="15" t="str">
        <f t="shared" si="5"/>
        <v>PNEUMATIK D.O.O.</v>
      </c>
      <c r="E154" s="16">
        <v>42157</v>
      </c>
      <c r="F154" s="16">
        <v>42369</v>
      </c>
      <c r="G154" s="13">
        <v>4108</v>
      </c>
      <c r="H154" s="16">
        <v>42369</v>
      </c>
      <c r="I154" s="13">
        <v>2544</v>
      </c>
      <c r="J154" s="13">
        <f t="shared" si="6"/>
        <v>3180</v>
      </c>
      <c r="K154" s="6"/>
    </row>
    <row r="155" spans="1:11" ht="24" x14ac:dyDescent="0.25">
      <c r="A155" s="3">
        <v>8</v>
      </c>
      <c r="B155" s="14" t="s">
        <v>27</v>
      </c>
      <c r="C155" s="15" t="str">
        <f>"MUP-G3-2015"</f>
        <v>MUP-G3-2015</v>
      </c>
      <c r="D155" s="15" t="str">
        <f t="shared" si="5"/>
        <v>PNEUMATIK D.O.O.</v>
      </c>
      <c r="E155" s="16">
        <v>42114</v>
      </c>
      <c r="F155" s="16">
        <v>42144</v>
      </c>
      <c r="G155" s="13">
        <v>67856</v>
      </c>
      <c r="H155" s="16">
        <v>42144</v>
      </c>
      <c r="I155" s="13">
        <v>51285.2</v>
      </c>
      <c r="J155" s="13">
        <f t="shared" si="6"/>
        <v>64106.5</v>
      </c>
      <c r="K155" s="6"/>
    </row>
    <row r="156" spans="1:11" x14ac:dyDescent="0.25">
      <c r="A156" s="3">
        <v>9</v>
      </c>
      <c r="B156" s="14" t="s">
        <v>44</v>
      </c>
      <c r="C156" s="15" t="str">
        <f>"PU-G3-2015"</f>
        <v>PU-G3-2015</v>
      </c>
      <c r="D156" s="15" t="str">
        <f t="shared" si="5"/>
        <v>PNEUMATIK D.O.O.</v>
      </c>
      <c r="E156" s="16">
        <v>42032</v>
      </c>
      <c r="F156" s="16">
        <v>42032</v>
      </c>
      <c r="G156" s="13">
        <v>1832</v>
      </c>
      <c r="H156" s="16">
        <v>42032</v>
      </c>
      <c r="I156" s="13">
        <v>320</v>
      </c>
      <c r="J156" s="13">
        <f t="shared" si="6"/>
        <v>400</v>
      </c>
      <c r="K156" s="6"/>
    </row>
    <row r="157" spans="1:11" ht="24" x14ac:dyDescent="0.25">
      <c r="A157" s="3">
        <v>10</v>
      </c>
      <c r="B157" s="14" t="s">
        <v>45</v>
      </c>
      <c r="C157" s="15" t="str">
        <f>"MZOP-G3-2014"</f>
        <v>MZOP-G3-2014</v>
      </c>
      <c r="D157" s="15" t="str">
        <f t="shared" si="5"/>
        <v>PNEUMATIK D.O.O.</v>
      </c>
      <c r="E157" s="16">
        <v>41975</v>
      </c>
      <c r="F157" s="16">
        <v>42340</v>
      </c>
      <c r="G157" s="13">
        <v>9340</v>
      </c>
      <c r="H157" s="16">
        <v>42340</v>
      </c>
      <c r="I157" s="13">
        <v>3404</v>
      </c>
      <c r="J157" s="13">
        <f t="shared" si="6"/>
        <v>4255</v>
      </c>
      <c r="K157" s="6"/>
    </row>
    <row r="158" spans="1:11" x14ac:dyDescent="0.25">
      <c r="A158" s="3">
        <v>11</v>
      </c>
      <c r="B158" s="14" t="s">
        <v>36</v>
      </c>
      <c r="C158" s="15" t="str">
        <f>"MIZ-G3-2014"</f>
        <v>MIZ-G3-2014</v>
      </c>
      <c r="D158" s="15" t="str">
        <f t="shared" si="5"/>
        <v>PNEUMATIK D.O.O.</v>
      </c>
      <c r="E158" s="16">
        <v>41939</v>
      </c>
      <c r="F158" s="16">
        <v>42369</v>
      </c>
      <c r="G158" s="13">
        <v>3920</v>
      </c>
      <c r="H158" s="16">
        <v>42369</v>
      </c>
      <c r="I158" s="13">
        <v>2440</v>
      </c>
      <c r="J158" s="13">
        <f t="shared" si="6"/>
        <v>3050</v>
      </c>
      <c r="K158" s="6"/>
    </row>
    <row r="159" spans="1:11" ht="24" x14ac:dyDescent="0.25">
      <c r="A159" s="3">
        <v>12</v>
      </c>
      <c r="B159" s="14" t="s">
        <v>55</v>
      </c>
      <c r="C159" s="15" t="str">
        <f>"64-61-14 (13/2013-3)-3-1"</f>
        <v>64-61-14 (13/2013-3)-3-1</v>
      </c>
      <c r="D159" s="15" t="str">
        <f t="shared" si="5"/>
        <v>PNEUMATIK D.O.O.</v>
      </c>
      <c r="E159" s="16">
        <v>41919</v>
      </c>
      <c r="F159" s="16">
        <v>42284</v>
      </c>
      <c r="G159" s="13">
        <v>26296</v>
      </c>
      <c r="H159" s="16">
        <v>42284</v>
      </c>
      <c r="I159" s="13">
        <v>2978</v>
      </c>
      <c r="J159" s="13">
        <f t="shared" si="6"/>
        <v>3722.5</v>
      </c>
      <c r="K159" s="6"/>
    </row>
    <row r="160" spans="1:11" ht="7.5" customHeight="1" x14ac:dyDescent="0.25"/>
    <row r="161" spans="1:11" ht="42" customHeight="1" x14ac:dyDescent="0.25">
      <c r="A161" s="1" t="s">
        <v>0</v>
      </c>
      <c r="B161" s="2" t="s">
        <v>1</v>
      </c>
      <c r="C161" s="2" t="s">
        <v>6</v>
      </c>
      <c r="D161" s="2" t="s">
        <v>2</v>
      </c>
      <c r="E161" s="2" t="s">
        <v>3</v>
      </c>
      <c r="F161" s="2" t="s">
        <v>7</v>
      </c>
      <c r="G161" s="2" t="s">
        <v>8</v>
      </c>
      <c r="H161" s="2" t="s">
        <v>4</v>
      </c>
      <c r="I161" s="2" t="s">
        <v>5</v>
      </c>
    </row>
    <row r="162" spans="1:11" x14ac:dyDescent="0.25">
      <c r="A162" s="3">
        <v>1</v>
      </c>
      <c r="B162" s="6" t="s">
        <v>669</v>
      </c>
      <c r="C162" s="3" t="s">
        <v>121</v>
      </c>
      <c r="D162" s="3" t="s">
        <v>696</v>
      </c>
      <c r="E162" s="3" t="s">
        <v>24</v>
      </c>
      <c r="F162" s="21">
        <v>41843</v>
      </c>
      <c r="G162" s="3" t="s">
        <v>670</v>
      </c>
      <c r="H162" s="13">
        <v>1700000</v>
      </c>
      <c r="I162" s="13">
        <v>1563621.33</v>
      </c>
    </row>
    <row r="163" spans="1:11" x14ac:dyDescent="0.25">
      <c r="A163" s="42" t="s">
        <v>706</v>
      </c>
      <c r="B163" s="43"/>
      <c r="C163" s="43"/>
      <c r="D163" s="43"/>
      <c r="E163" s="43"/>
      <c r="F163" s="43"/>
      <c r="G163" s="43"/>
      <c r="H163" s="44"/>
      <c r="I163" s="13">
        <v>287107.40000000002</v>
      </c>
    </row>
    <row r="164" spans="1:11" ht="7.5" customHeight="1" x14ac:dyDescent="0.25"/>
    <row r="165" spans="1:11" x14ac:dyDescent="0.25">
      <c r="A165" s="46" t="s">
        <v>20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1:11" ht="63.75" customHeight="1" x14ac:dyDescent="0.25">
      <c r="A166" s="4" t="s">
        <v>0</v>
      </c>
      <c r="B166" s="5" t="s">
        <v>10</v>
      </c>
      <c r="C166" s="5" t="s">
        <v>9</v>
      </c>
      <c r="D166" s="5" t="s">
        <v>13</v>
      </c>
      <c r="E166" s="5" t="s">
        <v>12</v>
      </c>
      <c r="F166" s="5" t="s">
        <v>11</v>
      </c>
      <c r="G166" s="5" t="s">
        <v>18</v>
      </c>
      <c r="H166" s="5" t="s">
        <v>14</v>
      </c>
      <c r="I166" s="5" t="s">
        <v>15</v>
      </c>
      <c r="J166" s="5" t="s">
        <v>16</v>
      </c>
      <c r="K166" s="5" t="s">
        <v>17</v>
      </c>
    </row>
    <row r="167" spans="1:11" x14ac:dyDescent="0.25">
      <c r="A167" s="3">
        <v>1</v>
      </c>
      <c r="B167" s="14" t="s">
        <v>49</v>
      </c>
      <c r="C167" s="15" t="str">
        <f>"1175/2015"</f>
        <v>1175/2015</v>
      </c>
      <c r="D167" s="15" t="str">
        <f t="shared" ref="D167:D175" si="7">CONCATENATE("PNEUMATIK D.O.O.")</f>
        <v>PNEUMATIK D.O.O.</v>
      </c>
      <c r="E167" s="16">
        <v>42334</v>
      </c>
      <c r="F167" s="16"/>
      <c r="G167" s="13">
        <v>140</v>
      </c>
      <c r="H167" s="16"/>
      <c r="I167" s="13">
        <v>140</v>
      </c>
      <c r="J167" s="13">
        <f>I167*1.25</f>
        <v>175</v>
      </c>
      <c r="K167" s="6"/>
    </row>
    <row r="168" spans="1:11" x14ac:dyDescent="0.25">
      <c r="A168" s="3">
        <v>2</v>
      </c>
      <c r="B168" s="14" t="s">
        <v>49</v>
      </c>
      <c r="C168" s="15" t="str">
        <f>"351/2015"</f>
        <v>351/2015</v>
      </c>
      <c r="D168" s="15" t="str">
        <f t="shared" si="7"/>
        <v>PNEUMATIK D.O.O.</v>
      </c>
      <c r="E168" s="16">
        <v>42103</v>
      </c>
      <c r="F168" s="16"/>
      <c r="G168" s="13">
        <v>1116</v>
      </c>
      <c r="H168" s="16"/>
      <c r="I168" s="13">
        <v>1116</v>
      </c>
      <c r="J168" s="13">
        <f t="shared" ref="J168:J176" si="8">I168*1.25</f>
        <v>1395</v>
      </c>
      <c r="K168" s="6"/>
    </row>
    <row r="169" spans="1:11" ht="24" x14ac:dyDescent="0.25">
      <c r="A169" s="3">
        <v>3</v>
      </c>
      <c r="B169" s="14" t="s">
        <v>43</v>
      </c>
      <c r="C169" s="15" t="str">
        <f>"MRMS-G4-2015"</f>
        <v>MRMS-G4-2015</v>
      </c>
      <c r="D169" s="15" t="str">
        <f t="shared" si="7"/>
        <v>PNEUMATIK D.O.O.</v>
      </c>
      <c r="E169" s="16">
        <v>42117</v>
      </c>
      <c r="F169" s="16"/>
      <c r="G169" s="13">
        <v>10620</v>
      </c>
      <c r="H169" s="16"/>
      <c r="I169" s="13">
        <v>10620</v>
      </c>
      <c r="J169" s="13">
        <f t="shared" si="8"/>
        <v>13275</v>
      </c>
      <c r="K169" s="6"/>
    </row>
    <row r="170" spans="1:11" ht="24" x14ac:dyDescent="0.25">
      <c r="A170" s="3">
        <v>4</v>
      </c>
      <c r="B170" s="14" t="s">
        <v>28</v>
      </c>
      <c r="C170" s="15" t="str">
        <f>"MGPU 13/2013-4"</f>
        <v>MGPU 13/2013-4</v>
      </c>
      <c r="D170" s="15" t="str">
        <f t="shared" si="7"/>
        <v>PNEUMATIK D.O.O.</v>
      </c>
      <c r="E170" s="16">
        <v>41976</v>
      </c>
      <c r="F170" s="16">
        <v>42369</v>
      </c>
      <c r="G170" s="13">
        <v>10200</v>
      </c>
      <c r="H170" s="16">
        <v>42369</v>
      </c>
      <c r="I170" s="13">
        <v>8386</v>
      </c>
      <c r="J170" s="13">
        <f t="shared" si="8"/>
        <v>10482.5</v>
      </c>
      <c r="K170" s="6"/>
    </row>
    <row r="171" spans="1:11" ht="24" x14ac:dyDescent="0.25">
      <c r="A171" s="3">
        <v>5</v>
      </c>
      <c r="B171" s="14" t="s">
        <v>27</v>
      </c>
      <c r="C171" s="15" t="str">
        <f>"MUP-G4-2015-2"</f>
        <v>MUP-G4-2015-2</v>
      </c>
      <c r="D171" s="15" t="str">
        <f t="shared" si="7"/>
        <v>PNEUMATIK D.O.O.</v>
      </c>
      <c r="E171" s="16">
        <v>42297</v>
      </c>
      <c r="F171" s="16">
        <v>42328</v>
      </c>
      <c r="G171" s="13">
        <v>154338</v>
      </c>
      <c r="H171" s="16">
        <v>42328</v>
      </c>
      <c r="I171" s="13">
        <v>157242.4</v>
      </c>
      <c r="J171" s="13">
        <f t="shared" si="8"/>
        <v>196553</v>
      </c>
      <c r="K171" s="6"/>
    </row>
    <row r="172" spans="1:11" x14ac:dyDescent="0.25">
      <c r="A172" s="3">
        <v>6</v>
      </c>
      <c r="B172" s="14" t="s">
        <v>35</v>
      </c>
      <c r="C172" s="15" t="str">
        <f>"DGU-G4-2015"</f>
        <v>DGU-G4-2015</v>
      </c>
      <c r="D172" s="15" t="str">
        <f t="shared" si="7"/>
        <v>PNEUMATIK D.O.O.</v>
      </c>
      <c r="E172" s="16">
        <v>42157</v>
      </c>
      <c r="F172" s="16">
        <v>42369</v>
      </c>
      <c r="G172" s="13">
        <v>9268</v>
      </c>
      <c r="H172" s="16">
        <v>42369</v>
      </c>
      <c r="I172" s="13">
        <v>1116</v>
      </c>
      <c r="J172" s="13">
        <f t="shared" si="8"/>
        <v>1395</v>
      </c>
      <c r="K172" s="6"/>
    </row>
    <row r="173" spans="1:11" ht="24" x14ac:dyDescent="0.25">
      <c r="A173" s="3">
        <v>7</v>
      </c>
      <c r="B173" s="14" t="s">
        <v>27</v>
      </c>
      <c r="C173" s="15" t="str">
        <f>"MUP-G4-2015"</f>
        <v>MUP-G4-2015</v>
      </c>
      <c r="D173" s="15" t="str">
        <f t="shared" si="7"/>
        <v>PNEUMATIK D.O.O.</v>
      </c>
      <c r="E173" s="16">
        <v>42114</v>
      </c>
      <c r="F173" s="16">
        <v>42144</v>
      </c>
      <c r="G173" s="13">
        <v>104693</v>
      </c>
      <c r="H173" s="16">
        <v>42144</v>
      </c>
      <c r="I173" s="13">
        <v>101559</v>
      </c>
      <c r="J173" s="13">
        <f t="shared" si="8"/>
        <v>126948.75</v>
      </c>
      <c r="K173" s="6"/>
    </row>
    <row r="174" spans="1:11" x14ac:dyDescent="0.25">
      <c r="A174" s="3">
        <v>8</v>
      </c>
      <c r="B174" s="14" t="s">
        <v>44</v>
      </c>
      <c r="C174" s="15" t="str">
        <f>"PU-G4-2015"</f>
        <v>PU-G4-2015</v>
      </c>
      <c r="D174" s="15" t="str">
        <f t="shared" si="7"/>
        <v>PNEUMATIK D.O.O.</v>
      </c>
      <c r="E174" s="16">
        <v>42032</v>
      </c>
      <c r="F174" s="16">
        <v>42397</v>
      </c>
      <c r="G174" s="13">
        <v>7560</v>
      </c>
      <c r="H174" s="16">
        <v>42397</v>
      </c>
      <c r="I174" s="13">
        <v>1752</v>
      </c>
      <c r="J174" s="13">
        <f t="shared" si="8"/>
        <v>2190</v>
      </c>
      <c r="K174" s="6"/>
    </row>
    <row r="175" spans="1:11" ht="24" x14ac:dyDescent="0.25">
      <c r="A175" s="3">
        <v>9</v>
      </c>
      <c r="B175" s="14" t="s">
        <v>45</v>
      </c>
      <c r="C175" s="15" t="str">
        <f>"MZOP-G4-2014"</f>
        <v>MZOP-G4-2014</v>
      </c>
      <c r="D175" s="15" t="str">
        <f t="shared" si="7"/>
        <v>PNEUMATIK D.O.O.</v>
      </c>
      <c r="E175" s="16">
        <v>41975</v>
      </c>
      <c r="F175" s="16">
        <v>42340</v>
      </c>
      <c r="G175" s="13">
        <v>7080</v>
      </c>
      <c r="H175" s="16">
        <v>42340</v>
      </c>
      <c r="I175" s="13">
        <v>1576</v>
      </c>
      <c r="J175" s="13">
        <f t="shared" si="8"/>
        <v>1970</v>
      </c>
      <c r="K175" s="6"/>
    </row>
    <row r="176" spans="1:11" ht="24" x14ac:dyDescent="0.25">
      <c r="A176" s="3">
        <v>10</v>
      </c>
      <c r="B176" s="14" t="s">
        <v>90</v>
      </c>
      <c r="C176" s="15" t="str">
        <f>"U-19-MV/14"</f>
        <v>U-19-MV/14</v>
      </c>
      <c r="D176" s="15" t="str">
        <f>CONCATENATE("AUTO HRVATSKA AUTODIJELOVI D.O.O.")</f>
        <v>AUTO HRVATSKA AUTODIJELOVI D.O.O.</v>
      </c>
      <c r="E176" s="16">
        <v>41941</v>
      </c>
      <c r="F176" s="16">
        <v>42307</v>
      </c>
      <c r="G176" s="13">
        <v>3792</v>
      </c>
      <c r="H176" s="16">
        <v>42307</v>
      </c>
      <c r="I176" s="13">
        <v>3600</v>
      </c>
      <c r="J176" s="13">
        <f t="shared" si="8"/>
        <v>4500</v>
      </c>
      <c r="K176" s="6"/>
    </row>
    <row r="177" spans="1:11" ht="7.5" customHeight="1" x14ac:dyDescent="0.25"/>
    <row r="178" spans="1:11" ht="42" customHeight="1" x14ac:dyDescent="0.25">
      <c r="A178" s="1" t="s">
        <v>0</v>
      </c>
      <c r="B178" s="2" t="s">
        <v>1</v>
      </c>
      <c r="C178" s="2" t="s">
        <v>6</v>
      </c>
      <c r="D178" s="2" t="s">
        <v>2</v>
      </c>
      <c r="E178" s="2" t="s">
        <v>3</v>
      </c>
      <c r="F178" s="2" t="s">
        <v>7</v>
      </c>
      <c r="G178" s="2" t="s">
        <v>8</v>
      </c>
      <c r="H178" s="2" t="s">
        <v>4</v>
      </c>
      <c r="I178" s="2" t="s">
        <v>5</v>
      </c>
    </row>
    <row r="179" spans="1:11" x14ac:dyDescent="0.25">
      <c r="A179" s="3">
        <v>1</v>
      </c>
      <c r="B179" s="6" t="s">
        <v>669</v>
      </c>
      <c r="C179" s="3" t="s">
        <v>122</v>
      </c>
      <c r="D179" s="3" t="s">
        <v>696</v>
      </c>
      <c r="E179" s="3" t="s">
        <v>24</v>
      </c>
      <c r="F179" s="21">
        <v>41843</v>
      </c>
      <c r="G179" s="3" t="s">
        <v>670</v>
      </c>
      <c r="H179" s="13">
        <v>4000000</v>
      </c>
      <c r="I179" s="13">
        <v>3736464.67</v>
      </c>
    </row>
    <row r="180" spans="1:11" x14ac:dyDescent="0.25">
      <c r="A180" s="42" t="s">
        <v>706</v>
      </c>
      <c r="B180" s="43"/>
      <c r="C180" s="43"/>
      <c r="D180" s="43"/>
      <c r="E180" s="43"/>
      <c r="F180" s="43"/>
      <c r="G180" s="43"/>
      <c r="H180" s="44"/>
      <c r="I180" s="13">
        <v>350860.6</v>
      </c>
    </row>
    <row r="181" spans="1:11" ht="7.5" customHeight="1" x14ac:dyDescent="0.25"/>
    <row r="182" spans="1:11" x14ac:dyDescent="0.25">
      <c r="A182" s="46" t="s">
        <v>20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</row>
    <row r="183" spans="1:11" ht="63.75" customHeight="1" x14ac:dyDescent="0.25">
      <c r="A183" s="4" t="s">
        <v>0</v>
      </c>
      <c r="B183" s="5" t="s">
        <v>10</v>
      </c>
      <c r="C183" s="5" t="s">
        <v>9</v>
      </c>
      <c r="D183" s="5" t="s">
        <v>13</v>
      </c>
      <c r="E183" s="5" t="s">
        <v>12</v>
      </c>
      <c r="F183" s="5" t="s">
        <v>11</v>
      </c>
      <c r="G183" s="5" t="s">
        <v>18</v>
      </c>
      <c r="H183" s="5" t="s">
        <v>14</v>
      </c>
      <c r="I183" s="5" t="s">
        <v>15</v>
      </c>
      <c r="J183" s="5" t="s">
        <v>16</v>
      </c>
      <c r="K183" s="5" t="s">
        <v>17</v>
      </c>
    </row>
    <row r="184" spans="1:11" ht="24" x14ac:dyDescent="0.25">
      <c r="A184" s="3">
        <v>1</v>
      </c>
      <c r="B184" s="14" t="s">
        <v>42</v>
      </c>
      <c r="C184" s="15" t="str">
        <f>"SNUG-201-15-0059"</f>
        <v>SNUG-201-15-0059</v>
      </c>
      <c r="D184" s="15" t="str">
        <f>CONCATENATE("PNEUMATIK D.O.O.")</f>
        <v>PNEUMATIK D.O.O.</v>
      </c>
      <c r="E184" s="16">
        <v>42303</v>
      </c>
      <c r="F184" s="16">
        <v>42369</v>
      </c>
      <c r="G184" s="13">
        <v>3924</v>
      </c>
      <c r="H184" s="16">
        <v>42369</v>
      </c>
      <c r="I184" s="13">
        <v>11643</v>
      </c>
      <c r="J184" s="13">
        <f>I184*1.25</f>
        <v>14553.75</v>
      </c>
      <c r="K184" s="6"/>
    </row>
    <row r="185" spans="1:11" ht="24" x14ac:dyDescent="0.25">
      <c r="A185" s="3">
        <v>2</v>
      </c>
      <c r="B185" s="14" t="s">
        <v>42</v>
      </c>
      <c r="C185" s="15" t="str">
        <f>"SNUG-201-15-0021"</f>
        <v>SNUG-201-15-0021</v>
      </c>
      <c r="D185" s="15" t="str">
        <f>CONCATENATE("GUMIIMPEX - GRP D.D.")</f>
        <v>GUMIIMPEX - GRP D.D.</v>
      </c>
      <c r="E185" s="16">
        <v>42108</v>
      </c>
      <c r="F185" s="16">
        <v>42369</v>
      </c>
      <c r="G185" s="13">
        <v>16142</v>
      </c>
      <c r="H185" s="16">
        <v>42369</v>
      </c>
      <c r="I185" s="13">
        <v>16142</v>
      </c>
      <c r="J185" s="13">
        <f t="shared" ref="J185:J196" si="9">I185*1.25</f>
        <v>20177.5</v>
      </c>
      <c r="K185" s="6"/>
    </row>
    <row r="186" spans="1:11" ht="24" x14ac:dyDescent="0.25">
      <c r="A186" s="3">
        <v>3</v>
      </c>
      <c r="B186" s="14" t="s">
        <v>42</v>
      </c>
      <c r="C186" s="15" t="str">
        <f>"SNUG-201-15-0020"</f>
        <v>SNUG-201-15-0020</v>
      </c>
      <c r="D186" s="15" t="str">
        <f>CONCATENATE("PNEUMATIK D.O.O.")</f>
        <v>PNEUMATIK D.O.O.</v>
      </c>
      <c r="E186" s="16">
        <v>42108</v>
      </c>
      <c r="F186" s="16">
        <v>42369</v>
      </c>
      <c r="G186" s="13">
        <v>78932</v>
      </c>
      <c r="H186" s="16">
        <v>42369</v>
      </c>
      <c r="I186" s="13">
        <v>78932</v>
      </c>
      <c r="J186" s="13">
        <f t="shared" si="9"/>
        <v>98665</v>
      </c>
      <c r="K186" s="6"/>
    </row>
    <row r="187" spans="1:11" ht="24" x14ac:dyDescent="0.25">
      <c r="A187" s="3">
        <v>4</v>
      </c>
      <c r="B187" s="14" t="s">
        <v>43</v>
      </c>
      <c r="C187" s="15" t="str">
        <f>"MRMS-G5-2015"</f>
        <v>MRMS-G5-2015</v>
      </c>
      <c r="D187" s="15" t="str">
        <f>CONCATENATE("AUTO HRVATSKA AUTODIJELOVI D.O.O.")</f>
        <v>AUTO HRVATSKA AUTODIJELOVI D.O.O.</v>
      </c>
      <c r="E187" s="16">
        <v>42117</v>
      </c>
      <c r="F187" s="16"/>
      <c r="G187" s="13">
        <v>1396</v>
      </c>
      <c r="H187" s="16"/>
      <c r="I187" s="13">
        <v>1396</v>
      </c>
      <c r="J187" s="13">
        <f t="shared" si="9"/>
        <v>1745</v>
      </c>
      <c r="K187" s="6"/>
    </row>
    <row r="188" spans="1:11" ht="24" x14ac:dyDescent="0.25">
      <c r="A188" s="3">
        <v>5</v>
      </c>
      <c r="B188" s="14" t="s">
        <v>28</v>
      </c>
      <c r="C188" s="15" t="str">
        <f>"MGPU 13/2013-5"</f>
        <v>MGPU 13/2013-5</v>
      </c>
      <c r="D188" s="15" t="str">
        <f>CONCATENATE("PNEUMATIK D.O.O.")</f>
        <v>PNEUMATIK D.O.O.</v>
      </c>
      <c r="E188" s="16">
        <v>41976</v>
      </c>
      <c r="F188" s="16">
        <v>42369</v>
      </c>
      <c r="G188" s="13">
        <v>8944</v>
      </c>
      <c r="H188" s="16">
        <v>42369</v>
      </c>
      <c r="I188" s="13">
        <v>4400</v>
      </c>
      <c r="J188" s="13">
        <f t="shared" si="9"/>
        <v>5500</v>
      </c>
      <c r="K188" s="6"/>
    </row>
    <row r="189" spans="1:11" ht="24" x14ac:dyDescent="0.25">
      <c r="A189" s="3">
        <v>6</v>
      </c>
      <c r="B189" s="14" t="s">
        <v>55</v>
      </c>
      <c r="C189" s="15" t="str">
        <f>"64-61-14 (13/2013-5)-5-2"</f>
        <v>64-61-14 (13/2013-5)-5-2</v>
      </c>
      <c r="D189" s="15" t="str">
        <f>CONCATENATE("GUMIIMPEX - GRP D.D.")</f>
        <v>GUMIIMPEX - GRP D.D.</v>
      </c>
      <c r="E189" s="16">
        <v>42304</v>
      </c>
      <c r="F189" s="16">
        <v>42670</v>
      </c>
      <c r="G189" s="13">
        <v>11248</v>
      </c>
      <c r="H189" s="16">
        <v>42670</v>
      </c>
      <c r="I189" s="13">
        <v>4692</v>
      </c>
      <c r="J189" s="13">
        <f t="shared" si="9"/>
        <v>5865</v>
      </c>
      <c r="K189" s="6"/>
    </row>
    <row r="190" spans="1:11" ht="24" x14ac:dyDescent="0.25">
      <c r="A190" s="3">
        <v>7</v>
      </c>
      <c r="B190" s="14" t="s">
        <v>27</v>
      </c>
      <c r="C190" s="15" t="str">
        <f>"MUP-G5-2015-2"</f>
        <v>MUP-G5-2015-2</v>
      </c>
      <c r="D190" s="15" t="str">
        <f t="shared" ref="D190:D196" si="10">CONCATENATE("PNEUMATIK D.O.O.")</f>
        <v>PNEUMATIK D.O.O.</v>
      </c>
      <c r="E190" s="16">
        <v>42297</v>
      </c>
      <c r="F190" s="16">
        <v>42328</v>
      </c>
      <c r="G190" s="13">
        <v>156724</v>
      </c>
      <c r="H190" s="16">
        <v>42328</v>
      </c>
      <c r="I190" s="13">
        <v>166383</v>
      </c>
      <c r="J190" s="13">
        <f t="shared" si="9"/>
        <v>207978.75</v>
      </c>
      <c r="K190" s="6"/>
    </row>
    <row r="191" spans="1:11" x14ac:dyDescent="0.25">
      <c r="A191" s="3">
        <v>8</v>
      </c>
      <c r="B191" s="14" t="s">
        <v>35</v>
      </c>
      <c r="C191" s="15" t="str">
        <f>"DGU-G5-2015"</f>
        <v>DGU-G5-2015</v>
      </c>
      <c r="D191" s="15" t="str">
        <f t="shared" si="10"/>
        <v>PNEUMATIK D.O.O.</v>
      </c>
      <c r="E191" s="16">
        <v>42157</v>
      </c>
      <c r="F191" s="16">
        <v>42369</v>
      </c>
      <c r="G191" s="13">
        <v>6836</v>
      </c>
      <c r="H191" s="16">
        <v>42369</v>
      </c>
      <c r="I191" s="13">
        <v>6836</v>
      </c>
      <c r="J191" s="13">
        <f t="shared" si="9"/>
        <v>8545</v>
      </c>
      <c r="K191" s="6"/>
    </row>
    <row r="192" spans="1:11" ht="24" x14ac:dyDescent="0.25">
      <c r="A192" s="3">
        <v>9</v>
      </c>
      <c r="B192" s="14" t="s">
        <v>27</v>
      </c>
      <c r="C192" s="15" t="str">
        <f>"MUP-G5-2015"</f>
        <v>MUP-G5-2015</v>
      </c>
      <c r="D192" s="15" t="str">
        <f t="shared" si="10"/>
        <v>PNEUMATIK D.O.O.</v>
      </c>
      <c r="E192" s="16">
        <v>42114</v>
      </c>
      <c r="F192" s="16">
        <v>42144</v>
      </c>
      <c r="G192" s="13">
        <v>36702</v>
      </c>
      <c r="H192" s="16">
        <v>42144</v>
      </c>
      <c r="I192" s="13">
        <v>56888.6</v>
      </c>
      <c r="J192" s="13">
        <f t="shared" si="9"/>
        <v>71110.75</v>
      </c>
      <c r="K192" s="6"/>
    </row>
    <row r="193" spans="1:11" x14ac:dyDescent="0.25">
      <c r="A193" s="3">
        <v>10</v>
      </c>
      <c r="B193" s="14" t="s">
        <v>44</v>
      </c>
      <c r="C193" s="15" t="str">
        <f>"PU-G5-2015"</f>
        <v>PU-G5-2015</v>
      </c>
      <c r="D193" s="15" t="str">
        <f t="shared" si="10"/>
        <v>PNEUMATIK D.O.O.</v>
      </c>
      <c r="E193" s="16">
        <v>42032</v>
      </c>
      <c r="F193" s="16">
        <v>42397</v>
      </c>
      <c r="G193" s="13">
        <v>1888</v>
      </c>
      <c r="H193" s="16">
        <v>42397</v>
      </c>
      <c r="I193" s="13">
        <v>1008</v>
      </c>
      <c r="J193" s="13">
        <f t="shared" si="9"/>
        <v>1260</v>
      </c>
      <c r="K193" s="6"/>
    </row>
    <row r="194" spans="1:11" ht="24" x14ac:dyDescent="0.25">
      <c r="A194" s="3">
        <v>11</v>
      </c>
      <c r="B194" s="14" t="s">
        <v>45</v>
      </c>
      <c r="C194" s="15" t="str">
        <f>"MZOP-G5-2014"</f>
        <v>MZOP-G5-2014</v>
      </c>
      <c r="D194" s="15" t="str">
        <f t="shared" si="10"/>
        <v>PNEUMATIK D.O.O.</v>
      </c>
      <c r="E194" s="16">
        <v>41975</v>
      </c>
      <c r="F194" s="16">
        <v>42340</v>
      </c>
      <c r="G194" s="13">
        <v>2308</v>
      </c>
      <c r="H194" s="16">
        <v>42340</v>
      </c>
      <c r="I194" s="13">
        <v>960</v>
      </c>
      <c r="J194" s="13">
        <f t="shared" si="9"/>
        <v>1200</v>
      </c>
      <c r="K194" s="6"/>
    </row>
    <row r="195" spans="1:11" ht="24" x14ac:dyDescent="0.25">
      <c r="A195" s="3">
        <v>12</v>
      </c>
      <c r="B195" s="14" t="s">
        <v>36</v>
      </c>
      <c r="C195" s="15" t="str">
        <f>"MINISTARSTVO ZDRAVLJA"</f>
        <v>MINISTARSTVO ZDRAVLJA</v>
      </c>
      <c r="D195" s="15" t="str">
        <f t="shared" si="10"/>
        <v>PNEUMATIK D.O.O.</v>
      </c>
      <c r="E195" s="16">
        <v>41939</v>
      </c>
      <c r="F195" s="16">
        <v>42369</v>
      </c>
      <c r="G195" s="13">
        <v>1960</v>
      </c>
      <c r="H195" s="16">
        <v>42369</v>
      </c>
      <c r="I195" s="13">
        <v>1220</v>
      </c>
      <c r="J195" s="13">
        <f t="shared" si="9"/>
        <v>1525</v>
      </c>
      <c r="K195" s="6"/>
    </row>
    <row r="196" spans="1:11" ht="24" x14ac:dyDescent="0.25">
      <c r="A196" s="3">
        <v>13</v>
      </c>
      <c r="B196" s="14" t="s">
        <v>55</v>
      </c>
      <c r="C196" s="15" t="str">
        <f>"64-61-14 (13/2013-5)-5-1"</f>
        <v>64-61-14 (13/2013-5)-5-1</v>
      </c>
      <c r="D196" s="15" t="str">
        <f t="shared" si="10"/>
        <v>PNEUMATIK D.O.O.</v>
      </c>
      <c r="E196" s="16">
        <v>41919</v>
      </c>
      <c r="F196" s="16">
        <v>42284</v>
      </c>
      <c r="G196" s="13">
        <v>10338</v>
      </c>
      <c r="H196" s="16">
        <v>42284</v>
      </c>
      <c r="I196" s="13">
        <v>360</v>
      </c>
      <c r="J196" s="13">
        <f t="shared" si="9"/>
        <v>450</v>
      </c>
      <c r="K196" s="6"/>
    </row>
    <row r="197" spans="1:11" ht="7.5" customHeight="1" x14ac:dyDescent="0.25"/>
    <row r="198" spans="1:11" ht="42" customHeight="1" x14ac:dyDescent="0.25">
      <c r="A198" s="1" t="s">
        <v>0</v>
      </c>
      <c r="B198" s="2" t="s">
        <v>1</v>
      </c>
      <c r="C198" s="2" t="s">
        <v>6</v>
      </c>
      <c r="D198" s="2" t="s">
        <v>2</v>
      </c>
      <c r="E198" s="2" t="s">
        <v>3</v>
      </c>
      <c r="F198" s="2" t="s">
        <v>7</v>
      </c>
      <c r="G198" s="2" t="s">
        <v>8</v>
      </c>
      <c r="H198" s="2" t="s">
        <v>4</v>
      </c>
      <c r="I198" s="2" t="s">
        <v>5</v>
      </c>
    </row>
    <row r="199" spans="1:11" x14ac:dyDescent="0.25">
      <c r="A199" s="3">
        <v>1</v>
      </c>
      <c r="B199" s="6" t="s">
        <v>669</v>
      </c>
      <c r="C199" s="3" t="s">
        <v>123</v>
      </c>
      <c r="D199" s="3" t="s">
        <v>696</v>
      </c>
      <c r="E199" s="3" t="s">
        <v>24</v>
      </c>
      <c r="F199" s="21">
        <v>41837</v>
      </c>
      <c r="G199" s="3" t="s">
        <v>670</v>
      </c>
      <c r="H199" s="13">
        <v>3000000</v>
      </c>
      <c r="I199" s="13">
        <v>2725173.33</v>
      </c>
    </row>
    <row r="200" spans="1:11" x14ac:dyDescent="0.25">
      <c r="A200" s="42" t="s">
        <v>706</v>
      </c>
      <c r="B200" s="43"/>
      <c r="C200" s="43"/>
      <c r="D200" s="43"/>
      <c r="E200" s="43"/>
      <c r="F200" s="43"/>
      <c r="G200" s="43"/>
      <c r="H200" s="44"/>
      <c r="I200" s="13">
        <v>586087</v>
      </c>
    </row>
    <row r="201" spans="1:11" ht="7.5" customHeight="1" x14ac:dyDescent="0.25"/>
    <row r="202" spans="1:11" x14ac:dyDescent="0.25">
      <c r="A202" s="46" t="s">
        <v>20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1:11" ht="63.75" customHeight="1" x14ac:dyDescent="0.25">
      <c r="A203" s="4" t="s">
        <v>0</v>
      </c>
      <c r="B203" s="5" t="s">
        <v>10</v>
      </c>
      <c r="C203" s="5" t="s">
        <v>9</v>
      </c>
      <c r="D203" s="5" t="s">
        <v>13</v>
      </c>
      <c r="E203" s="5" t="s">
        <v>12</v>
      </c>
      <c r="F203" s="5" t="s">
        <v>11</v>
      </c>
      <c r="G203" s="5" t="s">
        <v>18</v>
      </c>
      <c r="H203" s="5" t="s">
        <v>14</v>
      </c>
      <c r="I203" s="5" t="s">
        <v>15</v>
      </c>
      <c r="J203" s="5" t="s">
        <v>16</v>
      </c>
      <c r="K203" s="5" t="s">
        <v>17</v>
      </c>
    </row>
    <row r="204" spans="1:11" ht="24" x14ac:dyDescent="0.25">
      <c r="A204" s="3">
        <v>1</v>
      </c>
      <c r="B204" s="14" t="s">
        <v>28</v>
      </c>
      <c r="C204" s="15" t="str">
        <f>"MGPU 13/2013-6"</f>
        <v>MGPU 13/2013-6</v>
      </c>
      <c r="D204" s="15" t="str">
        <f>CONCATENATE("PNEUMATIK D.O.O.")</f>
        <v>PNEUMATIK D.O.O.</v>
      </c>
      <c r="E204" s="16">
        <v>41976</v>
      </c>
      <c r="F204" s="16">
        <v>42369</v>
      </c>
      <c r="G204" s="13">
        <v>23800</v>
      </c>
      <c r="H204" s="16">
        <v>42369</v>
      </c>
      <c r="I204" s="13">
        <v>14000</v>
      </c>
      <c r="J204" s="13">
        <f>I204*1.25</f>
        <v>17500</v>
      </c>
      <c r="K204" s="6"/>
    </row>
    <row r="205" spans="1:11" ht="36" x14ac:dyDescent="0.25">
      <c r="A205" s="3">
        <v>2</v>
      </c>
      <c r="B205" s="14" t="s">
        <v>42</v>
      </c>
      <c r="C205" s="15" t="str">
        <f>"SNUG-201-15-0062"</f>
        <v>SNUG-201-15-0062</v>
      </c>
      <c r="D205" s="15" t="str">
        <f>CONCATENATE("AUTO HRVATSKA PRODAJNO SERVISNI CENTRI D.O.O.")</f>
        <v>AUTO HRVATSKA PRODAJNO SERVISNI CENTRI D.O.O.</v>
      </c>
      <c r="E205" s="16">
        <v>42303</v>
      </c>
      <c r="F205" s="16">
        <v>42369</v>
      </c>
      <c r="G205" s="13">
        <v>2169</v>
      </c>
      <c r="H205" s="16">
        <v>42369</v>
      </c>
      <c r="I205" s="13">
        <v>2049</v>
      </c>
      <c r="J205" s="13">
        <f t="shared" ref="J205:J222" si="11">I205*1.25</f>
        <v>2561.25</v>
      </c>
      <c r="K205" s="6"/>
    </row>
    <row r="206" spans="1:11" ht="24" x14ac:dyDescent="0.25">
      <c r="A206" s="3">
        <v>3</v>
      </c>
      <c r="B206" s="14" t="s">
        <v>42</v>
      </c>
      <c r="C206" s="15" t="str">
        <f>"SNUG-201-15-0060"</f>
        <v>SNUG-201-15-0060</v>
      </c>
      <c r="D206" s="15" t="str">
        <f>CONCATENATE("PNEUMATIK D.O.O.")</f>
        <v>PNEUMATIK D.O.O.</v>
      </c>
      <c r="E206" s="16">
        <v>42303</v>
      </c>
      <c r="F206" s="16">
        <v>42369</v>
      </c>
      <c r="G206" s="13">
        <v>5880</v>
      </c>
      <c r="H206" s="16">
        <v>42369</v>
      </c>
      <c r="I206" s="13">
        <v>5880</v>
      </c>
      <c r="J206" s="13">
        <f t="shared" si="11"/>
        <v>7350</v>
      </c>
      <c r="K206" s="6"/>
    </row>
    <row r="207" spans="1:11" ht="24" x14ac:dyDescent="0.25">
      <c r="A207" s="3">
        <v>4</v>
      </c>
      <c r="B207" s="14" t="s">
        <v>42</v>
      </c>
      <c r="C207" s="15" t="str">
        <f>"SNUG-201-15-0023"</f>
        <v>SNUG-201-15-0023</v>
      </c>
      <c r="D207" s="15" t="str">
        <f>CONCATENATE("VULKAL D.O.O.")</f>
        <v>VULKAL D.O.O.</v>
      </c>
      <c r="E207" s="16">
        <v>42108</v>
      </c>
      <c r="F207" s="16">
        <v>42369</v>
      </c>
      <c r="G207" s="13">
        <v>11148</v>
      </c>
      <c r="H207" s="16">
        <v>42369</v>
      </c>
      <c r="I207" s="13">
        <v>11148</v>
      </c>
      <c r="J207" s="13">
        <f t="shared" si="11"/>
        <v>13935</v>
      </c>
      <c r="K207" s="6"/>
    </row>
    <row r="208" spans="1:11" ht="24" x14ac:dyDescent="0.25">
      <c r="A208" s="3">
        <v>5</v>
      </c>
      <c r="B208" s="14" t="s">
        <v>45</v>
      </c>
      <c r="C208" s="15" t="str">
        <f>"13/2013-6-U1"</f>
        <v>13/2013-6-U1</v>
      </c>
      <c r="D208" s="15" t="str">
        <f>CONCATENATE("PNEUMATIK D.O.O.")</f>
        <v>PNEUMATIK D.O.O.</v>
      </c>
      <c r="E208" s="16">
        <v>41975</v>
      </c>
      <c r="F208" s="16"/>
      <c r="G208" s="13">
        <v>9232</v>
      </c>
      <c r="H208" s="16"/>
      <c r="I208" s="13">
        <v>3090</v>
      </c>
      <c r="J208" s="13">
        <f t="shared" si="11"/>
        <v>3862.5</v>
      </c>
      <c r="K208" s="6"/>
    </row>
    <row r="209" spans="1:11" ht="48" x14ac:dyDescent="0.25">
      <c r="A209" s="3">
        <v>6</v>
      </c>
      <c r="B209" s="14" t="s">
        <v>49</v>
      </c>
      <c r="C209" s="15" t="str">
        <f>"1145/2015"</f>
        <v>1145/2015</v>
      </c>
      <c r="D209" s="15" t="str">
        <f>CONCATENATE("AUTO HRVATSKA AUTODIJELOVI D.O.O.",CHAR(10),"PNEUMATIK D.O.O.",CHAR(10),"VULKAL D.O.O.")</f>
        <v>AUTO HRVATSKA AUTODIJELOVI D.O.O.
PNEUMATIK D.O.O.
VULKAL D.O.O.</v>
      </c>
      <c r="E209" s="16">
        <v>42319</v>
      </c>
      <c r="F209" s="16"/>
      <c r="G209" s="13">
        <v>236</v>
      </c>
      <c r="H209" s="16"/>
      <c r="I209" s="13">
        <v>236</v>
      </c>
      <c r="J209" s="13">
        <f t="shared" si="11"/>
        <v>295</v>
      </c>
      <c r="K209" s="6"/>
    </row>
    <row r="210" spans="1:11" ht="48" x14ac:dyDescent="0.25">
      <c r="A210" s="3">
        <v>7</v>
      </c>
      <c r="B210" s="14" t="s">
        <v>49</v>
      </c>
      <c r="C210" s="15" t="str">
        <f>"353/2015"</f>
        <v>353/2015</v>
      </c>
      <c r="D210" s="15" t="str">
        <f>CONCATENATE("AUTO HRVATSKA AUTOSERVISI D.O.O.",CHAR(10),"PNEUMATIK D.O.O.",CHAR(10),"VULKAL D.O.O.")</f>
        <v>AUTO HRVATSKA AUTOSERVISI D.O.O.
PNEUMATIK D.O.O.
VULKAL D.O.O.</v>
      </c>
      <c r="E210" s="16">
        <v>42103</v>
      </c>
      <c r="F210" s="16"/>
      <c r="G210" s="13">
        <v>236</v>
      </c>
      <c r="H210" s="16"/>
      <c r="I210" s="13">
        <v>236</v>
      </c>
      <c r="J210" s="13">
        <f t="shared" si="11"/>
        <v>295</v>
      </c>
      <c r="K210" s="6"/>
    </row>
    <row r="211" spans="1:11" ht="24" x14ac:dyDescent="0.25">
      <c r="A211" s="3">
        <v>8</v>
      </c>
      <c r="B211" s="14" t="s">
        <v>43</v>
      </c>
      <c r="C211" s="15" t="str">
        <f>"MRMS-G6-2015"</f>
        <v>MRMS-G6-2015</v>
      </c>
      <c r="D211" s="15" t="str">
        <f>CONCATENATE("AUTO HRVATSKA AUTODIJELOVI D.O.O.")</f>
        <v>AUTO HRVATSKA AUTODIJELOVI D.O.O.</v>
      </c>
      <c r="E211" s="16">
        <v>42117</v>
      </c>
      <c r="F211" s="16"/>
      <c r="G211" s="13">
        <v>6960</v>
      </c>
      <c r="H211" s="16"/>
      <c r="I211" s="13">
        <v>6960</v>
      </c>
      <c r="J211" s="13">
        <f t="shared" si="11"/>
        <v>8700</v>
      </c>
      <c r="K211" s="6"/>
    </row>
    <row r="212" spans="1:11" ht="24" x14ac:dyDescent="0.25">
      <c r="A212" s="3">
        <v>9</v>
      </c>
      <c r="B212" s="14" t="s">
        <v>42</v>
      </c>
      <c r="C212" s="15" t="str">
        <f>"SNUG-201-15-0022"</f>
        <v>SNUG-201-15-0022</v>
      </c>
      <c r="D212" s="15" t="str">
        <f t="shared" ref="D212:D219" si="12">CONCATENATE("PNEUMATIK D.O.O.")</f>
        <v>PNEUMATIK D.O.O.</v>
      </c>
      <c r="E212" s="16">
        <v>42108</v>
      </c>
      <c r="F212" s="16">
        <v>42369</v>
      </c>
      <c r="G212" s="13">
        <v>20606</v>
      </c>
      <c r="H212" s="16">
        <v>42369</v>
      </c>
      <c r="I212" s="13">
        <v>20606</v>
      </c>
      <c r="J212" s="13">
        <f t="shared" si="11"/>
        <v>25757.5</v>
      </c>
      <c r="K212" s="6"/>
    </row>
    <row r="213" spans="1:11" ht="24" x14ac:dyDescent="0.25">
      <c r="A213" s="3">
        <v>10</v>
      </c>
      <c r="B213" s="14" t="s">
        <v>61</v>
      </c>
      <c r="C213" s="15" t="str">
        <f>"DZM-G6-2015"</f>
        <v>DZM-G6-2015</v>
      </c>
      <c r="D213" s="15" t="str">
        <f t="shared" si="12"/>
        <v>PNEUMATIK D.O.O.</v>
      </c>
      <c r="E213" s="16">
        <v>42321</v>
      </c>
      <c r="F213" s="16">
        <v>42687</v>
      </c>
      <c r="G213" s="13">
        <v>5696</v>
      </c>
      <c r="H213" s="16">
        <v>42687</v>
      </c>
      <c r="I213" s="13">
        <v>600</v>
      </c>
      <c r="J213" s="13">
        <f t="shared" si="11"/>
        <v>750</v>
      </c>
      <c r="K213" s="6"/>
    </row>
    <row r="214" spans="1:11" ht="24" x14ac:dyDescent="0.25">
      <c r="A214" s="3">
        <v>11</v>
      </c>
      <c r="B214" s="14" t="s">
        <v>55</v>
      </c>
      <c r="C214" s="15" t="str">
        <f>"64-61-14 (13/2013-6)-6-2"</f>
        <v>64-61-14 (13/2013-6)-6-2</v>
      </c>
      <c r="D214" s="15" t="str">
        <f t="shared" si="12"/>
        <v>PNEUMATIK D.O.O.</v>
      </c>
      <c r="E214" s="16">
        <v>42304</v>
      </c>
      <c r="F214" s="16">
        <v>42670</v>
      </c>
      <c r="G214" s="13">
        <v>16730</v>
      </c>
      <c r="H214" s="16">
        <v>42670</v>
      </c>
      <c r="I214" s="13">
        <v>6868</v>
      </c>
      <c r="J214" s="13">
        <f t="shared" si="11"/>
        <v>8585</v>
      </c>
      <c r="K214" s="6"/>
    </row>
    <row r="215" spans="1:11" ht="24" x14ac:dyDescent="0.25">
      <c r="A215" s="3">
        <v>12</v>
      </c>
      <c r="B215" s="14" t="s">
        <v>27</v>
      </c>
      <c r="C215" s="15" t="str">
        <f>"MUP-G6-2015-2"</f>
        <v>MUP-G6-2015-2</v>
      </c>
      <c r="D215" s="15" t="str">
        <f t="shared" si="12"/>
        <v>PNEUMATIK D.O.O.</v>
      </c>
      <c r="E215" s="16">
        <v>42297</v>
      </c>
      <c r="F215" s="16">
        <v>42328</v>
      </c>
      <c r="G215" s="13">
        <v>305136</v>
      </c>
      <c r="H215" s="16">
        <v>42328</v>
      </c>
      <c r="I215" s="13">
        <v>220032</v>
      </c>
      <c r="J215" s="13">
        <f t="shared" si="11"/>
        <v>275040</v>
      </c>
      <c r="K215" s="6"/>
    </row>
    <row r="216" spans="1:11" x14ac:dyDescent="0.25">
      <c r="A216" s="3">
        <v>13</v>
      </c>
      <c r="B216" s="14" t="s">
        <v>35</v>
      </c>
      <c r="C216" s="15" t="str">
        <f>"DGU-G6-2015"</f>
        <v>DGU-G6-2015</v>
      </c>
      <c r="D216" s="15" t="str">
        <f t="shared" si="12"/>
        <v>PNEUMATIK D.O.O.</v>
      </c>
      <c r="E216" s="16">
        <v>42157</v>
      </c>
      <c r="F216" s="16">
        <v>42369</v>
      </c>
      <c r="G216" s="13">
        <v>8448</v>
      </c>
      <c r="H216" s="16">
        <v>42369</v>
      </c>
      <c r="I216" s="13">
        <v>8688</v>
      </c>
      <c r="J216" s="13">
        <f t="shared" si="11"/>
        <v>10860</v>
      </c>
      <c r="K216" s="6"/>
    </row>
    <row r="217" spans="1:11" ht="24" x14ac:dyDescent="0.25">
      <c r="A217" s="3">
        <v>14</v>
      </c>
      <c r="B217" s="14" t="s">
        <v>27</v>
      </c>
      <c r="C217" s="15" t="str">
        <f>"MUP-G6-2015"</f>
        <v>MUP-G6-2015</v>
      </c>
      <c r="D217" s="15" t="str">
        <f t="shared" si="12"/>
        <v>PNEUMATIK D.O.O.</v>
      </c>
      <c r="E217" s="16">
        <v>42114</v>
      </c>
      <c r="F217" s="16">
        <v>42144</v>
      </c>
      <c r="G217" s="13">
        <v>257358</v>
      </c>
      <c r="H217" s="16">
        <v>42144</v>
      </c>
      <c r="I217" s="13">
        <v>250532</v>
      </c>
      <c r="J217" s="13">
        <f t="shared" si="11"/>
        <v>313165</v>
      </c>
      <c r="K217" s="6"/>
    </row>
    <row r="218" spans="1:11" x14ac:dyDescent="0.25">
      <c r="A218" s="3">
        <v>15</v>
      </c>
      <c r="B218" s="14" t="s">
        <v>44</v>
      </c>
      <c r="C218" s="15" t="str">
        <f>"PU-G6-2015"</f>
        <v>PU-G6-2015</v>
      </c>
      <c r="D218" s="15" t="str">
        <f t="shared" si="12"/>
        <v>PNEUMATIK D.O.O.</v>
      </c>
      <c r="E218" s="16">
        <v>42032</v>
      </c>
      <c r="F218" s="16">
        <v>42397</v>
      </c>
      <c r="G218" s="13">
        <v>18512</v>
      </c>
      <c r="H218" s="16">
        <v>42397</v>
      </c>
      <c r="I218" s="13">
        <v>7492</v>
      </c>
      <c r="J218" s="13">
        <f t="shared" si="11"/>
        <v>9365</v>
      </c>
      <c r="K218" s="6"/>
    </row>
    <row r="219" spans="1:11" ht="36" x14ac:dyDescent="0.25">
      <c r="A219" s="3">
        <v>16</v>
      </c>
      <c r="B219" s="14" t="s">
        <v>61</v>
      </c>
      <c r="C219" s="15" t="str">
        <f>"DRŽAVNI ZAVOD ZA MJERITELJSTVO"</f>
        <v>DRŽAVNI ZAVOD ZA MJERITELJSTVO</v>
      </c>
      <c r="D219" s="15" t="str">
        <f t="shared" si="12"/>
        <v>PNEUMATIK D.O.O.</v>
      </c>
      <c r="E219" s="16">
        <v>41943</v>
      </c>
      <c r="F219" s="16">
        <v>42308</v>
      </c>
      <c r="G219" s="13">
        <v>15560</v>
      </c>
      <c r="H219" s="16">
        <v>42308</v>
      </c>
      <c r="I219" s="13">
        <v>14724</v>
      </c>
      <c r="J219" s="13">
        <f t="shared" si="11"/>
        <v>18405</v>
      </c>
      <c r="K219" s="6"/>
    </row>
    <row r="220" spans="1:11" ht="24" x14ac:dyDescent="0.25">
      <c r="A220" s="3">
        <v>17</v>
      </c>
      <c r="B220" s="14" t="s">
        <v>90</v>
      </c>
      <c r="C220" s="15" t="str">
        <f>"MINISTARSTVO GOSPODARSTVA"</f>
        <v>MINISTARSTVO GOSPODARSTVA</v>
      </c>
      <c r="D220" s="15" t="str">
        <f>CONCATENATE("AUTO HRVATSKA AUTODIJELOVI D.O.O.")</f>
        <v>AUTO HRVATSKA AUTODIJELOVI D.O.O.</v>
      </c>
      <c r="E220" s="16">
        <v>41941</v>
      </c>
      <c r="F220" s="16">
        <v>42307</v>
      </c>
      <c r="G220" s="13">
        <v>1940</v>
      </c>
      <c r="H220" s="16">
        <v>42307</v>
      </c>
      <c r="I220" s="13">
        <v>1940</v>
      </c>
      <c r="J220" s="13">
        <f t="shared" si="11"/>
        <v>2425</v>
      </c>
      <c r="K220" s="6"/>
    </row>
    <row r="221" spans="1:11" x14ac:dyDescent="0.25">
      <c r="A221" s="3">
        <v>18</v>
      </c>
      <c r="B221" s="14" t="s">
        <v>36</v>
      </c>
      <c r="C221" s="15" t="str">
        <f>"MIZ-G6-2014"</f>
        <v>MIZ-G6-2014</v>
      </c>
      <c r="D221" s="15" t="str">
        <f>CONCATENATE("PNEUMATIK D.O.O.")</f>
        <v>PNEUMATIK D.O.O.</v>
      </c>
      <c r="E221" s="16">
        <v>41939</v>
      </c>
      <c r="F221" s="16">
        <v>42369</v>
      </c>
      <c r="G221" s="13">
        <v>2132</v>
      </c>
      <c r="H221" s="16">
        <v>42369</v>
      </c>
      <c r="I221" s="13">
        <v>1460</v>
      </c>
      <c r="J221" s="13">
        <f t="shared" si="11"/>
        <v>1825</v>
      </c>
      <c r="K221" s="6"/>
    </row>
    <row r="222" spans="1:11" ht="24" x14ac:dyDescent="0.25">
      <c r="A222" s="3">
        <v>19</v>
      </c>
      <c r="B222" s="14" t="s">
        <v>55</v>
      </c>
      <c r="C222" s="15" t="str">
        <f>"64-61-14 (13/2013-6)-6-1"</f>
        <v>64-61-14 (13/2013-6)-6-1</v>
      </c>
      <c r="D222" s="15" t="str">
        <f>CONCATENATE("AUTO HRVATSKA AUTODIJELOVI D.O.O.")</f>
        <v>AUTO HRVATSKA AUTODIJELOVI D.O.O.</v>
      </c>
      <c r="E222" s="16">
        <v>41926</v>
      </c>
      <c r="F222" s="16">
        <v>42291</v>
      </c>
      <c r="G222" s="13">
        <v>38680</v>
      </c>
      <c r="H222" s="16">
        <v>42291</v>
      </c>
      <c r="I222" s="13">
        <v>9546</v>
      </c>
      <c r="J222" s="13">
        <f t="shared" si="11"/>
        <v>11932.5</v>
      </c>
      <c r="K222" s="6"/>
    </row>
    <row r="223" spans="1:11" ht="7.5" customHeight="1" x14ac:dyDescent="0.25"/>
    <row r="224" spans="1:11" ht="42" customHeight="1" x14ac:dyDescent="0.25">
      <c r="A224" s="1" t="s">
        <v>0</v>
      </c>
      <c r="B224" s="2" t="s">
        <v>1</v>
      </c>
      <c r="C224" s="2" t="s">
        <v>6</v>
      </c>
      <c r="D224" s="2" t="s">
        <v>2</v>
      </c>
      <c r="E224" s="2" t="s">
        <v>3</v>
      </c>
      <c r="F224" s="2" t="s">
        <v>7</v>
      </c>
      <c r="G224" s="2" t="s">
        <v>8</v>
      </c>
      <c r="H224" s="2" t="s">
        <v>4</v>
      </c>
      <c r="I224" s="2" t="s">
        <v>5</v>
      </c>
    </row>
    <row r="225" spans="1:11" x14ac:dyDescent="0.25">
      <c r="A225" s="3">
        <v>1</v>
      </c>
      <c r="B225" s="6" t="s">
        <v>669</v>
      </c>
      <c r="C225" s="3" t="s">
        <v>124</v>
      </c>
      <c r="D225" s="3" t="s">
        <v>696</v>
      </c>
      <c r="E225" s="3" t="s">
        <v>24</v>
      </c>
      <c r="F225" s="21">
        <v>41843</v>
      </c>
      <c r="G225" s="3" t="s">
        <v>670</v>
      </c>
      <c r="H225" s="13">
        <v>2600000</v>
      </c>
      <c r="I225" s="13">
        <v>2397829.33</v>
      </c>
    </row>
    <row r="226" spans="1:11" x14ac:dyDescent="0.25">
      <c r="A226" s="42" t="s">
        <v>706</v>
      </c>
      <c r="B226" s="43"/>
      <c r="C226" s="43"/>
      <c r="D226" s="43"/>
      <c r="E226" s="43"/>
      <c r="F226" s="43"/>
      <c r="G226" s="43"/>
      <c r="H226" s="44"/>
      <c r="I226" s="13">
        <v>370815.8</v>
      </c>
    </row>
    <row r="227" spans="1:11" ht="7.5" customHeight="1" x14ac:dyDescent="0.25"/>
    <row r="228" spans="1:11" x14ac:dyDescent="0.25">
      <c r="A228" s="46" t="s">
        <v>20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</row>
    <row r="229" spans="1:11" ht="63.75" customHeight="1" x14ac:dyDescent="0.25">
      <c r="A229" s="4" t="s">
        <v>0</v>
      </c>
      <c r="B229" s="5" t="s">
        <v>10</v>
      </c>
      <c r="C229" s="5" t="s">
        <v>9</v>
      </c>
      <c r="D229" s="5" t="s">
        <v>13</v>
      </c>
      <c r="E229" s="5" t="s">
        <v>12</v>
      </c>
      <c r="F229" s="5" t="s">
        <v>11</v>
      </c>
      <c r="G229" s="5" t="s">
        <v>18</v>
      </c>
      <c r="H229" s="5" t="s">
        <v>14</v>
      </c>
      <c r="I229" s="5" t="s">
        <v>15</v>
      </c>
      <c r="J229" s="5" t="s">
        <v>16</v>
      </c>
      <c r="K229" s="5" t="s">
        <v>17</v>
      </c>
    </row>
    <row r="230" spans="1:11" ht="24" x14ac:dyDescent="0.25">
      <c r="A230" s="3">
        <v>1</v>
      </c>
      <c r="B230" s="14" t="s">
        <v>28</v>
      </c>
      <c r="C230" s="15" t="str">
        <f>"MGPU 13/2013-7"</f>
        <v>MGPU 13/2013-7</v>
      </c>
      <c r="D230" s="15" t="str">
        <f>CONCATENATE("PNEUMATIK D.O.O.")</f>
        <v>PNEUMATIK D.O.O.</v>
      </c>
      <c r="E230" s="16">
        <v>41976</v>
      </c>
      <c r="F230" s="16">
        <v>42369</v>
      </c>
      <c r="G230" s="13">
        <v>12840</v>
      </c>
      <c r="H230" s="16">
        <v>42369</v>
      </c>
      <c r="I230" s="13">
        <v>7880</v>
      </c>
      <c r="J230" s="13">
        <f>I230*1.25</f>
        <v>9850</v>
      </c>
      <c r="K230" s="6"/>
    </row>
    <row r="231" spans="1:11" ht="24" x14ac:dyDescent="0.25">
      <c r="A231" s="3">
        <v>2</v>
      </c>
      <c r="B231" s="14" t="s">
        <v>42</v>
      </c>
      <c r="C231" s="15" t="str">
        <f>"SNUG-201-15-0063"</f>
        <v>SNUG-201-15-0063</v>
      </c>
      <c r="D231" s="15" t="str">
        <f>CONCATENATE("PNEUMATIK D.O.O.")</f>
        <v>PNEUMATIK D.O.O.</v>
      </c>
      <c r="E231" s="16">
        <v>42303</v>
      </c>
      <c r="F231" s="16">
        <v>42369</v>
      </c>
      <c r="G231" s="13">
        <v>2800</v>
      </c>
      <c r="H231" s="16">
        <v>42369</v>
      </c>
      <c r="I231" s="13">
        <v>3568</v>
      </c>
      <c r="J231" s="13">
        <f t="shared" ref="J231:J244" si="13">I231*1.25</f>
        <v>4460</v>
      </c>
      <c r="K231" s="6"/>
    </row>
    <row r="232" spans="1:11" ht="24" x14ac:dyDescent="0.25">
      <c r="A232" s="3">
        <v>3</v>
      </c>
      <c r="B232" s="14" t="s">
        <v>42</v>
      </c>
      <c r="C232" s="15" t="str">
        <f>"SNUG-201-15-0024"</f>
        <v>SNUG-201-15-0024</v>
      </c>
      <c r="D232" s="15" t="str">
        <f>CONCATENATE("PNEUMATIK D.O.O.")</f>
        <v>PNEUMATIK D.O.O.</v>
      </c>
      <c r="E232" s="16">
        <v>42108</v>
      </c>
      <c r="F232" s="16">
        <v>42369</v>
      </c>
      <c r="G232" s="13">
        <v>3760</v>
      </c>
      <c r="H232" s="16">
        <v>42369</v>
      </c>
      <c r="I232" s="13">
        <v>3760</v>
      </c>
      <c r="J232" s="13">
        <f t="shared" si="13"/>
        <v>4700</v>
      </c>
      <c r="K232" s="6"/>
    </row>
    <row r="233" spans="1:11" ht="48" x14ac:dyDescent="0.25">
      <c r="A233" s="3">
        <v>4</v>
      </c>
      <c r="B233" s="14" t="s">
        <v>49</v>
      </c>
      <c r="C233" s="15" t="str">
        <f>"P"</f>
        <v>P</v>
      </c>
      <c r="D233" s="15" t="str">
        <f>CONCATENATE("PNEUMATIK D.O.O.",CHAR(10),"GUMIIMPEX - GRP D.D.",CHAR(10),"AUTO HRVATSKA AUTODIJELOVI D.O.O.")</f>
        <v>PNEUMATIK D.O.O.
GUMIIMPEX - GRP D.D.
AUTO HRVATSKA AUTODIJELOVI D.O.O.</v>
      </c>
      <c r="E233" s="16">
        <v>42137</v>
      </c>
      <c r="F233" s="16"/>
      <c r="G233" s="13">
        <v>208</v>
      </c>
      <c r="H233" s="16"/>
      <c r="I233" s="13">
        <v>208</v>
      </c>
      <c r="J233" s="13">
        <f t="shared" si="13"/>
        <v>260</v>
      </c>
      <c r="K233" s="6"/>
    </row>
    <row r="234" spans="1:11" ht="24" x14ac:dyDescent="0.25">
      <c r="A234" s="3">
        <v>5</v>
      </c>
      <c r="B234" s="14" t="s">
        <v>43</v>
      </c>
      <c r="C234" s="15" t="str">
        <f>"MRMS-G7-2015"</f>
        <v>MRMS-G7-2015</v>
      </c>
      <c r="D234" s="15" t="str">
        <f t="shared" ref="D234:D244" si="14">CONCATENATE("PNEUMATIK D.O.O.")</f>
        <v>PNEUMATIK D.O.O.</v>
      </c>
      <c r="E234" s="16">
        <v>42117</v>
      </c>
      <c r="F234" s="16"/>
      <c r="G234" s="13">
        <v>1200</v>
      </c>
      <c r="H234" s="16"/>
      <c r="I234" s="13">
        <v>1200</v>
      </c>
      <c r="J234" s="13">
        <f t="shared" si="13"/>
        <v>1500</v>
      </c>
      <c r="K234" s="6"/>
    </row>
    <row r="235" spans="1:11" x14ac:dyDescent="0.25">
      <c r="A235" s="3">
        <v>6</v>
      </c>
      <c r="B235" s="14" t="s">
        <v>44</v>
      </c>
      <c r="C235" s="15" t="str">
        <f>"PU-G7-2015"</f>
        <v>PU-G7-2015</v>
      </c>
      <c r="D235" s="15" t="str">
        <f t="shared" si="14"/>
        <v>PNEUMATIK D.O.O.</v>
      </c>
      <c r="E235" s="16">
        <v>42032</v>
      </c>
      <c r="F235" s="16">
        <v>42397</v>
      </c>
      <c r="G235" s="13">
        <v>4832</v>
      </c>
      <c r="H235" s="16">
        <v>42397</v>
      </c>
      <c r="I235" s="13">
        <v>1912</v>
      </c>
      <c r="J235" s="13">
        <f t="shared" si="13"/>
        <v>2390</v>
      </c>
      <c r="K235" s="6"/>
    </row>
    <row r="236" spans="1:11" ht="24" x14ac:dyDescent="0.25">
      <c r="A236" s="3">
        <v>7</v>
      </c>
      <c r="B236" s="14" t="s">
        <v>27</v>
      </c>
      <c r="C236" s="15" t="str">
        <f>"MUP-G7-2015-4"</f>
        <v>MUP-G7-2015-4</v>
      </c>
      <c r="D236" s="15" t="str">
        <f t="shared" si="14"/>
        <v>PNEUMATIK D.O.O.</v>
      </c>
      <c r="E236" s="16">
        <v>42312</v>
      </c>
      <c r="F236" s="16">
        <v>42342</v>
      </c>
      <c r="G236" s="13">
        <v>27606</v>
      </c>
      <c r="H236" s="16">
        <v>42342</v>
      </c>
      <c r="I236" s="13">
        <v>32606</v>
      </c>
      <c r="J236" s="13">
        <f t="shared" si="13"/>
        <v>40757.5</v>
      </c>
      <c r="K236" s="6"/>
    </row>
    <row r="237" spans="1:11" ht="24" x14ac:dyDescent="0.25">
      <c r="A237" s="3">
        <v>8</v>
      </c>
      <c r="B237" s="14" t="s">
        <v>55</v>
      </c>
      <c r="C237" s="15" t="str">
        <f>"64-61-14 (13/2013-7)-7-2"</f>
        <v>64-61-14 (13/2013-7)-7-2</v>
      </c>
      <c r="D237" s="15" t="str">
        <f t="shared" si="14"/>
        <v>PNEUMATIK D.O.O.</v>
      </c>
      <c r="E237" s="16">
        <v>42304</v>
      </c>
      <c r="F237" s="16">
        <v>42670</v>
      </c>
      <c r="G237" s="13">
        <v>7580</v>
      </c>
      <c r="H237" s="16">
        <v>42670</v>
      </c>
      <c r="I237" s="13">
        <v>1920</v>
      </c>
      <c r="J237" s="13">
        <f t="shared" si="13"/>
        <v>2400</v>
      </c>
      <c r="K237" s="6"/>
    </row>
    <row r="238" spans="1:11" ht="24" x14ac:dyDescent="0.25">
      <c r="A238" s="3">
        <v>9</v>
      </c>
      <c r="B238" s="14" t="s">
        <v>27</v>
      </c>
      <c r="C238" s="15" t="str">
        <f>"MUP-G7-2015-3"</f>
        <v>MUP-G7-2015-3</v>
      </c>
      <c r="D238" s="15" t="str">
        <f t="shared" si="14"/>
        <v>PNEUMATIK D.O.O.</v>
      </c>
      <c r="E238" s="16">
        <v>42297</v>
      </c>
      <c r="F238" s="16">
        <v>42328</v>
      </c>
      <c r="G238" s="13">
        <v>140128</v>
      </c>
      <c r="H238" s="16">
        <v>42328</v>
      </c>
      <c r="I238" s="13">
        <v>147424</v>
      </c>
      <c r="J238" s="13">
        <f t="shared" si="13"/>
        <v>184280</v>
      </c>
      <c r="K238" s="6"/>
    </row>
    <row r="239" spans="1:11" ht="24" x14ac:dyDescent="0.25">
      <c r="A239" s="3">
        <v>10</v>
      </c>
      <c r="B239" s="14" t="s">
        <v>27</v>
      </c>
      <c r="C239" s="15" t="str">
        <f>"MUP-G7-2015-2"</f>
        <v>MUP-G7-2015-2</v>
      </c>
      <c r="D239" s="15" t="str">
        <f t="shared" si="14"/>
        <v>PNEUMATIK D.O.O.</v>
      </c>
      <c r="E239" s="16">
        <v>42233</v>
      </c>
      <c r="F239" s="16">
        <v>42264</v>
      </c>
      <c r="G239" s="13">
        <v>29846.32</v>
      </c>
      <c r="H239" s="16">
        <v>42264</v>
      </c>
      <c r="I239" s="13">
        <v>30181.48</v>
      </c>
      <c r="J239" s="13">
        <f t="shared" si="13"/>
        <v>37726.85</v>
      </c>
      <c r="K239" s="6"/>
    </row>
    <row r="240" spans="1:11" x14ac:dyDescent="0.25">
      <c r="A240" s="3">
        <v>11</v>
      </c>
      <c r="B240" s="14" t="s">
        <v>35</v>
      </c>
      <c r="C240" s="15" t="str">
        <f>"DGU-G7-2015"</f>
        <v>DGU-G7-2015</v>
      </c>
      <c r="D240" s="15" t="str">
        <f t="shared" si="14"/>
        <v>PNEUMATIK D.O.O.</v>
      </c>
      <c r="E240" s="16">
        <v>42157</v>
      </c>
      <c r="F240" s="16">
        <v>42369</v>
      </c>
      <c r="G240" s="13">
        <v>8836</v>
      </c>
      <c r="H240" s="16">
        <v>42369</v>
      </c>
      <c r="I240" s="13">
        <v>6672</v>
      </c>
      <c r="J240" s="13">
        <f t="shared" si="13"/>
        <v>8340</v>
      </c>
      <c r="K240" s="6"/>
    </row>
    <row r="241" spans="1:11" ht="24" x14ac:dyDescent="0.25">
      <c r="A241" s="3">
        <v>12</v>
      </c>
      <c r="B241" s="14" t="s">
        <v>27</v>
      </c>
      <c r="C241" s="15" t="str">
        <f>"MUP-G7-2015"</f>
        <v>MUP-G7-2015</v>
      </c>
      <c r="D241" s="15" t="str">
        <f t="shared" si="14"/>
        <v>PNEUMATIK D.O.O.</v>
      </c>
      <c r="E241" s="16">
        <v>42114</v>
      </c>
      <c r="F241" s="16">
        <v>42144</v>
      </c>
      <c r="G241" s="13">
        <v>124918</v>
      </c>
      <c r="H241" s="16">
        <v>42144</v>
      </c>
      <c r="I241" s="13">
        <v>128512.32000000001</v>
      </c>
      <c r="J241" s="13">
        <f t="shared" si="13"/>
        <v>160640.40000000002</v>
      </c>
      <c r="K241" s="6"/>
    </row>
    <row r="242" spans="1:11" ht="24" x14ac:dyDescent="0.25">
      <c r="A242" s="3">
        <v>13</v>
      </c>
      <c r="B242" s="14" t="s">
        <v>45</v>
      </c>
      <c r="C242" s="15" t="str">
        <f>"MZOP-G7-2014"</f>
        <v>MZOP-G7-2014</v>
      </c>
      <c r="D242" s="15" t="str">
        <f t="shared" si="14"/>
        <v>PNEUMATIK D.O.O.</v>
      </c>
      <c r="E242" s="16">
        <v>41975</v>
      </c>
      <c r="F242" s="16">
        <v>42340</v>
      </c>
      <c r="G242" s="13">
        <v>6904</v>
      </c>
      <c r="H242" s="16">
        <v>42340</v>
      </c>
      <c r="I242" s="13">
        <v>2168</v>
      </c>
      <c r="J242" s="13">
        <f t="shared" si="13"/>
        <v>2710</v>
      </c>
      <c r="K242" s="6"/>
    </row>
    <row r="243" spans="1:11" x14ac:dyDescent="0.25">
      <c r="A243" s="3">
        <v>14</v>
      </c>
      <c r="B243" s="14" t="s">
        <v>36</v>
      </c>
      <c r="C243" s="15" t="str">
        <f>"MIZ-G7-2014"</f>
        <v>MIZ-G7-2014</v>
      </c>
      <c r="D243" s="15" t="str">
        <f t="shared" si="14"/>
        <v>PNEUMATIK D.O.O.</v>
      </c>
      <c r="E243" s="16">
        <v>41939</v>
      </c>
      <c r="F243" s="16">
        <v>42369</v>
      </c>
      <c r="G243" s="13">
        <v>1960</v>
      </c>
      <c r="H243" s="16">
        <v>42369</v>
      </c>
      <c r="I243" s="13">
        <v>120</v>
      </c>
      <c r="J243" s="13">
        <f t="shared" si="13"/>
        <v>150</v>
      </c>
      <c r="K243" s="6"/>
    </row>
    <row r="244" spans="1:11" ht="36" x14ac:dyDescent="0.25">
      <c r="A244" s="3">
        <v>15</v>
      </c>
      <c r="B244" s="14" t="s">
        <v>55</v>
      </c>
      <c r="C244" s="15" t="str">
        <f>"64-61-14(13/2013-7)-7-1"</f>
        <v>64-61-14(13/2013-7)-7-1</v>
      </c>
      <c r="D244" s="15" t="str">
        <f t="shared" si="14"/>
        <v>PNEUMATIK D.O.O.</v>
      </c>
      <c r="E244" s="16">
        <v>41919</v>
      </c>
      <c r="F244" s="16">
        <v>42284</v>
      </c>
      <c r="G244" s="13">
        <v>20730</v>
      </c>
      <c r="H244" s="16">
        <v>42284</v>
      </c>
      <c r="I244" s="13">
        <v>2684</v>
      </c>
      <c r="J244" s="13">
        <f t="shared" si="13"/>
        <v>3355</v>
      </c>
      <c r="K244" s="6"/>
    </row>
    <row r="245" spans="1:11" ht="7.5" customHeight="1" x14ac:dyDescent="0.25"/>
    <row r="246" spans="1:11" ht="42" customHeight="1" x14ac:dyDescent="0.25">
      <c r="A246" s="1" t="s">
        <v>0</v>
      </c>
      <c r="B246" s="2" t="s">
        <v>1</v>
      </c>
      <c r="C246" s="2" t="s">
        <v>6</v>
      </c>
      <c r="D246" s="2" t="s">
        <v>2</v>
      </c>
      <c r="E246" s="2" t="s">
        <v>3</v>
      </c>
      <c r="F246" s="2" t="s">
        <v>7</v>
      </c>
      <c r="G246" s="2" t="s">
        <v>8</v>
      </c>
      <c r="H246" s="2" t="s">
        <v>4</v>
      </c>
      <c r="I246" s="2" t="s">
        <v>5</v>
      </c>
    </row>
    <row r="247" spans="1:11" x14ac:dyDescent="0.25">
      <c r="A247" s="3">
        <v>1</v>
      </c>
      <c r="B247" s="6" t="s">
        <v>669</v>
      </c>
      <c r="C247" s="3" t="s">
        <v>125</v>
      </c>
      <c r="D247" s="3" t="s">
        <v>696</v>
      </c>
      <c r="E247" s="3" t="s">
        <v>24</v>
      </c>
      <c r="F247" s="21">
        <v>41843</v>
      </c>
      <c r="G247" s="3" t="s">
        <v>670</v>
      </c>
      <c r="H247" s="13">
        <v>4900000</v>
      </c>
      <c r="I247" s="13">
        <v>4211932.5</v>
      </c>
    </row>
    <row r="248" spans="1:11" x14ac:dyDescent="0.25">
      <c r="A248" s="42" t="s">
        <v>706</v>
      </c>
      <c r="B248" s="43"/>
      <c r="C248" s="43"/>
      <c r="D248" s="43"/>
      <c r="E248" s="43"/>
      <c r="F248" s="43"/>
      <c r="G248" s="43"/>
      <c r="H248" s="44"/>
      <c r="I248" s="13">
        <v>764559</v>
      </c>
    </row>
    <row r="249" spans="1:11" ht="7.5" customHeight="1" x14ac:dyDescent="0.25"/>
    <row r="250" spans="1:11" x14ac:dyDescent="0.25">
      <c r="A250" s="46" t="s">
        <v>20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ht="63.75" customHeight="1" x14ac:dyDescent="0.25">
      <c r="A251" s="4" t="s">
        <v>0</v>
      </c>
      <c r="B251" s="5" t="s">
        <v>10</v>
      </c>
      <c r="C251" s="5" t="s">
        <v>9</v>
      </c>
      <c r="D251" s="5" t="s">
        <v>13</v>
      </c>
      <c r="E251" s="5" t="s">
        <v>12</v>
      </c>
      <c r="F251" s="5" t="s">
        <v>11</v>
      </c>
      <c r="G251" s="5" t="s">
        <v>18</v>
      </c>
      <c r="H251" s="5" t="s">
        <v>14</v>
      </c>
      <c r="I251" s="5" t="s">
        <v>15</v>
      </c>
      <c r="J251" s="5" t="s">
        <v>16</v>
      </c>
      <c r="K251" s="5" t="s">
        <v>17</v>
      </c>
    </row>
    <row r="252" spans="1:11" ht="24" x14ac:dyDescent="0.25">
      <c r="A252" s="3">
        <v>1</v>
      </c>
      <c r="B252" s="14" t="s">
        <v>49</v>
      </c>
      <c r="C252" s="15" t="str">
        <f>"352/2015"</f>
        <v>352/2015</v>
      </c>
      <c r="D252" s="15" t="str">
        <f>CONCATENATE("PNEUMATIK D.O.O.",CHAR(10),"GUMIIMPEX - GRP D.D.")</f>
        <v>PNEUMATIK D.O.O.
GUMIIMPEX - GRP D.D.</v>
      </c>
      <c r="E252" s="16">
        <v>42103</v>
      </c>
      <c r="F252" s="16"/>
      <c r="G252" s="13">
        <v>180</v>
      </c>
      <c r="H252" s="16"/>
      <c r="I252" s="13">
        <v>180</v>
      </c>
      <c r="J252" s="13">
        <f>I252*1.25</f>
        <v>225</v>
      </c>
      <c r="K252" s="6"/>
    </row>
    <row r="253" spans="1:11" ht="24" x14ac:dyDescent="0.25">
      <c r="A253" s="3">
        <v>2</v>
      </c>
      <c r="B253" s="14" t="s">
        <v>28</v>
      </c>
      <c r="C253" s="15" t="str">
        <f>"MGPU 13/2013-8"</f>
        <v>MGPU 13/2013-8</v>
      </c>
      <c r="D253" s="15" t="str">
        <f>CONCATENATE("PNEUMATIK D.O.O.")</f>
        <v>PNEUMATIK D.O.O.</v>
      </c>
      <c r="E253" s="16">
        <v>41976</v>
      </c>
      <c r="F253" s="16">
        <v>42369</v>
      </c>
      <c r="G253" s="13">
        <v>14140</v>
      </c>
      <c r="H253" s="16">
        <v>42369</v>
      </c>
      <c r="I253" s="13">
        <v>4596</v>
      </c>
      <c r="J253" s="13">
        <f t="shared" ref="J253:J267" si="15">I253*1.25</f>
        <v>5745</v>
      </c>
      <c r="K253" s="6"/>
    </row>
    <row r="254" spans="1:11" ht="24" x14ac:dyDescent="0.25">
      <c r="A254" s="3">
        <v>3</v>
      </c>
      <c r="B254" s="14" t="s">
        <v>43</v>
      </c>
      <c r="C254" s="15" t="str">
        <f>"MRMS-G8-2015"</f>
        <v>MRMS-G8-2015</v>
      </c>
      <c r="D254" s="15" t="str">
        <f>CONCATENATE("PNEUMATIK D.O.O.")</f>
        <v>PNEUMATIK D.O.O.</v>
      </c>
      <c r="E254" s="16">
        <v>42239</v>
      </c>
      <c r="F254" s="16"/>
      <c r="G254" s="13">
        <v>12480</v>
      </c>
      <c r="H254" s="16"/>
      <c r="I254" s="13">
        <v>12480</v>
      </c>
      <c r="J254" s="13">
        <f t="shared" si="15"/>
        <v>15600</v>
      </c>
      <c r="K254" s="6"/>
    </row>
    <row r="255" spans="1:11" ht="24" x14ac:dyDescent="0.25">
      <c r="A255" s="3">
        <v>4</v>
      </c>
      <c r="B255" s="14" t="s">
        <v>42</v>
      </c>
      <c r="C255" s="15" t="str">
        <f>"SNUG-201-15-0065"</f>
        <v>SNUG-201-15-0065</v>
      </c>
      <c r="D255" s="15" t="str">
        <f>CONCATENATE("GUMIIMPEX - GRP D.D.")</f>
        <v>GUMIIMPEX - GRP D.D.</v>
      </c>
      <c r="E255" s="16">
        <v>42303</v>
      </c>
      <c r="F255" s="16">
        <v>42369</v>
      </c>
      <c r="G255" s="13">
        <v>6312</v>
      </c>
      <c r="H255" s="16">
        <v>42369</v>
      </c>
      <c r="I255" s="13">
        <v>6312</v>
      </c>
      <c r="J255" s="13">
        <f t="shared" si="15"/>
        <v>7890</v>
      </c>
      <c r="K255" s="6"/>
    </row>
    <row r="256" spans="1:11" ht="24" x14ac:dyDescent="0.25">
      <c r="A256" s="3">
        <v>5</v>
      </c>
      <c r="B256" s="14" t="s">
        <v>42</v>
      </c>
      <c r="C256" s="15" t="str">
        <f>"SNUG-201-15-0064"</f>
        <v>SNUG-201-15-0064</v>
      </c>
      <c r="D256" s="15" t="str">
        <f t="shared" ref="D256:D267" si="16">CONCATENATE("PNEUMATIK D.O.O.")</f>
        <v>PNEUMATIK D.O.O.</v>
      </c>
      <c r="E256" s="16">
        <v>42303</v>
      </c>
      <c r="F256" s="16">
        <v>42369</v>
      </c>
      <c r="G256" s="13">
        <v>8348</v>
      </c>
      <c r="H256" s="16">
        <v>42369</v>
      </c>
      <c r="I256" s="13">
        <v>52121</v>
      </c>
      <c r="J256" s="13">
        <f t="shared" si="15"/>
        <v>65151.25</v>
      </c>
      <c r="K256" s="6"/>
    </row>
    <row r="257" spans="1:11" ht="24" x14ac:dyDescent="0.25">
      <c r="A257" s="3">
        <v>6</v>
      </c>
      <c r="B257" s="14" t="s">
        <v>42</v>
      </c>
      <c r="C257" s="15" t="str">
        <f>"SNUG-201-15-0025"</f>
        <v>SNUG-201-15-0025</v>
      </c>
      <c r="D257" s="15" t="str">
        <f t="shared" si="16"/>
        <v>PNEUMATIK D.O.O.</v>
      </c>
      <c r="E257" s="16">
        <v>42108</v>
      </c>
      <c r="F257" s="16">
        <v>42369</v>
      </c>
      <c r="G257" s="13">
        <v>21524</v>
      </c>
      <c r="H257" s="16">
        <v>42369</v>
      </c>
      <c r="I257" s="13">
        <v>21524</v>
      </c>
      <c r="J257" s="13">
        <f t="shared" si="15"/>
        <v>26905</v>
      </c>
      <c r="K257" s="6"/>
    </row>
    <row r="258" spans="1:11" ht="24" x14ac:dyDescent="0.25">
      <c r="A258" s="3">
        <v>7</v>
      </c>
      <c r="B258" s="14" t="s">
        <v>61</v>
      </c>
      <c r="C258" s="15" t="str">
        <f>"DZM-G8-2015"</f>
        <v>DZM-G8-2015</v>
      </c>
      <c r="D258" s="15" t="str">
        <f t="shared" si="16"/>
        <v>PNEUMATIK D.O.O.</v>
      </c>
      <c r="E258" s="16">
        <v>42321</v>
      </c>
      <c r="F258" s="16">
        <v>42687</v>
      </c>
      <c r="G258" s="13">
        <v>4204</v>
      </c>
      <c r="H258" s="16">
        <v>42687</v>
      </c>
      <c r="I258" s="13">
        <v>2488</v>
      </c>
      <c r="J258" s="13">
        <f t="shared" si="15"/>
        <v>3110</v>
      </c>
      <c r="K258" s="6"/>
    </row>
    <row r="259" spans="1:11" ht="24" x14ac:dyDescent="0.25">
      <c r="A259" s="3">
        <v>8</v>
      </c>
      <c r="B259" s="14" t="s">
        <v>55</v>
      </c>
      <c r="C259" s="15" t="str">
        <f>"64-61-14 (13/2013-8)-8-2"</f>
        <v>64-61-14 (13/2013-8)-8-2</v>
      </c>
      <c r="D259" s="15" t="str">
        <f t="shared" si="16"/>
        <v>PNEUMATIK D.O.O.</v>
      </c>
      <c r="E259" s="16">
        <v>42304</v>
      </c>
      <c r="F259" s="16">
        <v>42670</v>
      </c>
      <c r="G259" s="13">
        <v>23135</v>
      </c>
      <c r="H259" s="16">
        <v>42670</v>
      </c>
      <c r="I259" s="13">
        <v>2672</v>
      </c>
      <c r="J259" s="13">
        <f t="shared" si="15"/>
        <v>3340</v>
      </c>
      <c r="K259" s="6"/>
    </row>
    <row r="260" spans="1:11" ht="24" x14ac:dyDescent="0.25">
      <c r="A260" s="3">
        <v>9</v>
      </c>
      <c r="B260" s="14" t="s">
        <v>27</v>
      </c>
      <c r="C260" s="15" t="str">
        <f>"MUP-G8-2015-2"</f>
        <v>MUP-G8-2015-2</v>
      </c>
      <c r="D260" s="15" t="str">
        <f t="shared" si="16"/>
        <v>PNEUMATIK D.O.O.</v>
      </c>
      <c r="E260" s="16">
        <v>42297</v>
      </c>
      <c r="F260" s="16">
        <v>42328</v>
      </c>
      <c r="G260" s="13">
        <v>421906</v>
      </c>
      <c r="H260" s="16">
        <v>42328</v>
      </c>
      <c r="I260" s="13">
        <v>319600</v>
      </c>
      <c r="J260" s="13">
        <f t="shared" si="15"/>
        <v>399500</v>
      </c>
      <c r="K260" s="6"/>
    </row>
    <row r="261" spans="1:11" x14ac:dyDescent="0.25">
      <c r="A261" s="3">
        <v>10</v>
      </c>
      <c r="B261" s="14" t="s">
        <v>35</v>
      </c>
      <c r="C261" s="15" t="str">
        <f>"DGU-G8-2015"</f>
        <v>DGU-G8-2015</v>
      </c>
      <c r="D261" s="15" t="str">
        <f t="shared" si="16"/>
        <v>PNEUMATIK D.O.O.</v>
      </c>
      <c r="E261" s="16">
        <v>42157</v>
      </c>
      <c r="F261" s="16">
        <v>42369</v>
      </c>
      <c r="G261" s="13">
        <v>7150</v>
      </c>
      <c r="H261" s="16">
        <v>42369</v>
      </c>
      <c r="I261" s="13">
        <v>6504</v>
      </c>
      <c r="J261" s="13">
        <f t="shared" si="15"/>
        <v>8130</v>
      </c>
      <c r="K261" s="6"/>
    </row>
    <row r="262" spans="1:11" ht="24" x14ac:dyDescent="0.25">
      <c r="A262" s="3">
        <v>11</v>
      </c>
      <c r="B262" s="14" t="s">
        <v>27</v>
      </c>
      <c r="C262" s="15" t="str">
        <f>"MUP-G8-2015"</f>
        <v>MUP-G8-2015</v>
      </c>
      <c r="D262" s="15" t="str">
        <f t="shared" si="16"/>
        <v>PNEUMATIK D.O.O.</v>
      </c>
      <c r="E262" s="16">
        <v>42114</v>
      </c>
      <c r="F262" s="16">
        <v>42144</v>
      </c>
      <c r="G262" s="13">
        <v>394622</v>
      </c>
      <c r="H262" s="16">
        <v>42144</v>
      </c>
      <c r="I262" s="13">
        <v>304478</v>
      </c>
      <c r="J262" s="13">
        <f t="shared" si="15"/>
        <v>380597.5</v>
      </c>
      <c r="K262" s="6"/>
    </row>
    <row r="263" spans="1:11" x14ac:dyDescent="0.25">
      <c r="A263" s="3">
        <v>12</v>
      </c>
      <c r="B263" s="14" t="s">
        <v>44</v>
      </c>
      <c r="C263" s="15" t="str">
        <f>"PU-G8-2015"</f>
        <v>PU-G8-2015</v>
      </c>
      <c r="D263" s="15" t="str">
        <f t="shared" si="16"/>
        <v>PNEUMATIK D.O.O.</v>
      </c>
      <c r="E263" s="16">
        <v>42032</v>
      </c>
      <c r="F263" s="16">
        <v>42397</v>
      </c>
      <c r="G263" s="13">
        <v>11860</v>
      </c>
      <c r="H263" s="16">
        <v>42397</v>
      </c>
      <c r="I263" s="13">
        <v>2532</v>
      </c>
      <c r="J263" s="13">
        <f t="shared" si="15"/>
        <v>3165</v>
      </c>
      <c r="K263" s="6"/>
    </row>
    <row r="264" spans="1:11" ht="24" x14ac:dyDescent="0.25">
      <c r="A264" s="3">
        <v>13</v>
      </c>
      <c r="B264" s="14" t="s">
        <v>45</v>
      </c>
      <c r="C264" s="15" t="str">
        <f>"MZOP-G8-2014"</f>
        <v>MZOP-G8-2014</v>
      </c>
      <c r="D264" s="15" t="str">
        <f t="shared" si="16"/>
        <v>PNEUMATIK D.O.O.</v>
      </c>
      <c r="E264" s="16">
        <v>41975</v>
      </c>
      <c r="F264" s="16">
        <v>42340</v>
      </c>
      <c r="G264" s="13">
        <v>9232</v>
      </c>
      <c r="H264" s="16">
        <v>42340</v>
      </c>
      <c r="I264" s="13">
        <v>4456</v>
      </c>
      <c r="J264" s="13">
        <f t="shared" si="15"/>
        <v>5570</v>
      </c>
      <c r="K264" s="6"/>
    </row>
    <row r="265" spans="1:11" ht="24" x14ac:dyDescent="0.25">
      <c r="A265" s="3">
        <v>14</v>
      </c>
      <c r="B265" s="14" t="s">
        <v>61</v>
      </c>
      <c r="C265" s="15" t="str">
        <f>"DZM-G8-2014"</f>
        <v>DZM-G8-2014</v>
      </c>
      <c r="D265" s="15" t="str">
        <f t="shared" si="16"/>
        <v>PNEUMATIK D.O.O.</v>
      </c>
      <c r="E265" s="16">
        <v>41954</v>
      </c>
      <c r="F265" s="16">
        <v>42319</v>
      </c>
      <c r="G265" s="13">
        <v>6792</v>
      </c>
      <c r="H265" s="16">
        <v>42319</v>
      </c>
      <c r="I265" s="13">
        <v>1488</v>
      </c>
      <c r="J265" s="13">
        <f t="shared" si="15"/>
        <v>1860</v>
      </c>
      <c r="K265" s="6"/>
    </row>
    <row r="266" spans="1:11" x14ac:dyDescent="0.25">
      <c r="A266" s="3">
        <v>15</v>
      </c>
      <c r="B266" s="14" t="s">
        <v>36</v>
      </c>
      <c r="C266" s="15" t="str">
        <f>"MIZ-G8-2014"</f>
        <v>MIZ-G8-2014</v>
      </c>
      <c r="D266" s="15" t="str">
        <f t="shared" si="16"/>
        <v>PNEUMATIK D.O.O.</v>
      </c>
      <c r="E266" s="16">
        <v>41939</v>
      </c>
      <c r="F266" s="16">
        <v>42369</v>
      </c>
      <c r="G266" s="13">
        <v>4112</v>
      </c>
      <c r="H266" s="16">
        <v>42369</v>
      </c>
      <c r="I266" s="13">
        <v>1280</v>
      </c>
      <c r="J266" s="13">
        <f t="shared" si="15"/>
        <v>1600</v>
      </c>
      <c r="K266" s="6"/>
    </row>
    <row r="267" spans="1:11" ht="24" x14ac:dyDescent="0.25">
      <c r="A267" s="3">
        <v>16</v>
      </c>
      <c r="B267" s="14" t="s">
        <v>55</v>
      </c>
      <c r="C267" s="15" t="str">
        <f>"64-61-14 (13/2013-8)-8-1"</f>
        <v>64-61-14 (13/2013-8)-8-1</v>
      </c>
      <c r="D267" s="15" t="str">
        <f t="shared" si="16"/>
        <v>PNEUMATIK D.O.O.</v>
      </c>
      <c r="E267" s="16">
        <v>41919</v>
      </c>
      <c r="F267" s="16">
        <v>42284</v>
      </c>
      <c r="G267" s="13">
        <v>63296</v>
      </c>
      <c r="H267" s="16">
        <v>42284</v>
      </c>
      <c r="I267" s="13">
        <v>21848</v>
      </c>
      <c r="J267" s="13">
        <f t="shared" si="15"/>
        <v>27310</v>
      </c>
      <c r="K267" s="6"/>
    </row>
    <row r="268" spans="1:11" ht="7.5" customHeight="1" x14ac:dyDescent="0.25"/>
    <row r="269" spans="1:11" ht="42" customHeight="1" x14ac:dyDescent="0.25">
      <c r="A269" s="1" t="s">
        <v>0</v>
      </c>
      <c r="B269" s="2" t="s">
        <v>1</v>
      </c>
      <c r="C269" s="2" t="s">
        <v>6</v>
      </c>
      <c r="D269" s="2" t="s">
        <v>2</v>
      </c>
      <c r="E269" s="2" t="s">
        <v>3</v>
      </c>
      <c r="F269" s="2" t="s">
        <v>7</v>
      </c>
      <c r="G269" s="2" t="s">
        <v>8</v>
      </c>
      <c r="H269" s="2" t="s">
        <v>4</v>
      </c>
      <c r="I269" s="2" t="s">
        <v>5</v>
      </c>
    </row>
    <row r="270" spans="1:11" x14ac:dyDescent="0.25">
      <c r="A270" s="3">
        <v>1</v>
      </c>
      <c r="B270" s="6" t="s">
        <v>669</v>
      </c>
      <c r="C270" s="3" t="s">
        <v>126</v>
      </c>
      <c r="D270" s="3" t="s">
        <v>696</v>
      </c>
      <c r="E270" s="3" t="s">
        <v>24</v>
      </c>
      <c r="F270" s="21">
        <v>41844</v>
      </c>
      <c r="G270" s="3" t="s">
        <v>670</v>
      </c>
      <c r="H270" s="13">
        <v>4500000</v>
      </c>
      <c r="I270" s="13">
        <v>3194061.33</v>
      </c>
    </row>
    <row r="271" spans="1:11" x14ac:dyDescent="0.25">
      <c r="A271" s="42" t="s">
        <v>706</v>
      </c>
      <c r="B271" s="43"/>
      <c r="C271" s="43"/>
      <c r="D271" s="43"/>
      <c r="E271" s="43"/>
      <c r="F271" s="43"/>
      <c r="G271" s="43"/>
      <c r="H271" s="44"/>
      <c r="I271" s="13">
        <v>1741585.07</v>
      </c>
    </row>
    <row r="272" spans="1:11" ht="7.5" customHeight="1" x14ac:dyDescent="0.25"/>
    <row r="273" spans="1:11" x14ac:dyDescent="0.25">
      <c r="A273" s="46" t="s">
        <v>20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</row>
    <row r="274" spans="1:11" ht="63.75" customHeight="1" x14ac:dyDescent="0.25">
      <c r="A274" s="4" t="s">
        <v>0</v>
      </c>
      <c r="B274" s="5" t="s">
        <v>10</v>
      </c>
      <c r="C274" s="5" t="s">
        <v>9</v>
      </c>
      <c r="D274" s="5" t="s">
        <v>13</v>
      </c>
      <c r="E274" s="5" t="s">
        <v>12</v>
      </c>
      <c r="F274" s="5" t="s">
        <v>11</v>
      </c>
      <c r="G274" s="5" t="s">
        <v>18</v>
      </c>
      <c r="H274" s="5" t="s">
        <v>14</v>
      </c>
      <c r="I274" s="5" t="s">
        <v>15</v>
      </c>
      <c r="J274" s="5" t="s">
        <v>16</v>
      </c>
      <c r="K274" s="5" t="s">
        <v>17</v>
      </c>
    </row>
    <row r="275" spans="1:11" ht="24" x14ac:dyDescent="0.25">
      <c r="A275" s="3">
        <v>1</v>
      </c>
      <c r="B275" s="14" t="s">
        <v>42</v>
      </c>
      <c r="C275" s="15" t="str">
        <f>"SNUG-201-15-0027"</f>
        <v>SNUG-201-15-0027</v>
      </c>
      <c r="D275" s="15" t="str">
        <f>CONCATENATE("PNEUMATIK D.O.O.")</f>
        <v>PNEUMATIK D.O.O.</v>
      </c>
      <c r="E275" s="16">
        <v>42108</v>
      </c>
      <c r="F275" s="16">
        <v>42369</v>
      </c>
      <c r="G275" s="13">
        <v>94925</v>
      </c>
      <c r="H275" s="16">
        <v>42369</v>
      </c>
      <c r="I275" s="13">
        <v>81481</v>
      </c>
      <c r="J275" s="13">
        <f>I275*1.25</f>
        <v>101851.25</v>
      </c>
      <c r="K275" s="6"/>
    </row>
    <row r="276" spans="1:11" ht="24" x14ac:dyDescent="0.25">
      <c r="A276" s="3">
        <v>2</v>
      </c>
      <c r="B276" s="14" t="s">
        <v>42</v>
      </c>
      <c r="C276" s="15" t="str">
        <f>"SNUG-201-15-0028"</f>
        <v>SNUG-201-15-0028</v>
      </c>
      <c r="D276" s="15" t="str">
        <f>CONCATENATE("VULKAL D.O.O.")</f>
        <v>VULKAL D.O.O.</v>
      </c>
      <c r="E276" s="16">
        <v>42108</v>
      </c>
      <c r="F276" s="16">
        <v>42369</v>
      </c>
      <c r="G276" s="13">
        <v>167712</v>
      </c>
      <c r="H276" s="16">
        <v>42369</v>
      </c>
      <c r="I276" s="13">
        <v>131794</v>
      </c>
      <c r="J276" s="13">
        <f t="shared" ref="J276:J283" si="17">I276*1.25</f>
        <v>164742.5</v>
      </c>
      <c r="K276" s="6"/>
    </row>
    <row r="277" spans="1:11" ht="24" x14ac:dyDescent="0.25">
      <c r="A277" s="3">
        <v>3</v>
      </c>
      <c r="B277" s="14" t="s">
        <v>42</v>
      </c>
      <c r="C277" s="15" t="str">
        <f>"SNUG-201-15-0031"</f>
        <v>SNUG-201-15-0031</v>
      </c>
      <c r="D277" s="15" t="str">
        <f>CONCATENATE("PNEUMATIK D.O.O.")</f>
        <v>PNEUMATIK D.O.O.</v>
      </c>
      <c r="E277" s="16">
        <v>42108</v>
      </c>
      <c r="F277" s="16">
        <v>42369</v>
      </c>
      <c r="G277" s="13">
        <v>502556</v>
      </c>
      <c r="H277" s="16">
        <v>42369</v>
      </c>
      <c r="I277" s="13">
        <v>528275.52</v>
      </c>
      <c r="J277" s="13">
        <f t="shared" si="17"/>
        <v>660344.4</v>
      </c>
      <c r="K277" s="6"/>
    </row>
    <row r="278" spans="1:11" ht="24" x14ac:dyDescent="0.25">
      <c r="A278" s="3">
        <v>4</v>
      </c>
      <c r="B278" s="14" t="s">
        <v>42</v>
      </c>
      <c r="C278" s="15" t="str">
        <f>"SNUG-201-15-0032"</f>
        <v>SNUG-201-15-0032</v>
      </c>
      <c r="D278" s="15" t="str">
        <f>CONCATENATE("VULKAL D.O.O.")</f>
        <v>VULKAL D.O.O.</v>
      </c>
      <c r="E278" s="16">
        <v>42057</v>
      </c>
      <c r="F278" s="16">
        <v>42369</v>
      </c>
      <c r="G278" s="13">
        <v>144680</v>
      </c>
      <c r="H278" s="16">
        <v>42369</v>
      </c>
      <c r="I278" s="13">
        <v>107364</v>
      </c>
      <c r="J278" s="13">
        <f t="shared" si="17"/>
        <v>134205</v>
      </c>
      <c r="K278" s="6"/>
    </row>
    <row r="279" spans="1:11" x14ac:dyDescent="0.25">
      <c r="A279" s="3">
        <v>5</v>
      </c>
      <c r="B279" s="14" t="s">
        <v>42</v>
      </c>
      <c r="C279" s="15" t="str">
        <f>"UG-201-15-0574"</f>
        <v>UG-201-15-0574</v>
      </c>
      <c r="D279" s="15" t="str">
        <f>CONCATENATE("PNEUMATIK D.O.O.")</f>
        <v>PNEUMATIK D.O.O.</v>
      </c>
      <c r="E279" s="16">
        <v>42191</v>
      </c>
      <c r="F279" s="16"/>
      <c r="G279" s="13">
        <v>468802</v>
      </c>
      <c r="H279" s="16"/>
      <c r="I279" s="13">
        <v>484432</v>
      </c>
      <c r="J279" s="13">
        <f t="shared" si="17"/>
        <v>605540</v>
      </c>
      <c r="K279" s="6"/>
    </row>
    <row r="280" spans="1:11" ht="24" x14ac:dyDescent="0.25">
      <c r="A280" s="3">
        <v>6</v>
      </c>
      <c r="B280" s="14" t="s">
        <v>42</v>
      </c>
      <c r="C280" s="15" t="str">
        <f>"SNUG-201-15-0066"</f>
        <v>SNUG-201-15-0066</v>
      </c>
      <c r="D280" s="15" t="str">
        <f>CONCATENATE("VULKAL D.O.O.")</f>
        <v>VULKAL D.O.O.</v>
      </c>
      <c r="E280" s="16">
        <v>42303</v>
      </c>
      <c r="F280" s="16">
        <v>42369</v>
      </c>
      <c r="G280" s="13">
        <v>48278</v>
      </c>
      <c r="H280" s="16">
        <v>42369</v>
      </c>
      <c r="I280" s="13">
        <v>165765.79999999999</v>
      </c>
      <c r="J280" s="13">
        <f t="shared" si="17"/>
        <v>207207.25</v>
      </c>
      <c r="K280" s="6"/>
    </row>
    <row r="281" spans="1:11" ht="24" x14ac:dyDescent="0.25">
      <c r="A281" s="3">
        <v>7</v>
      </c>
      <c r="B281" s="14" t="s">
        <v>42</v>
      </c>
      <c r="C281" s="15" t="str">
        <f>"SNUG-201-15-0067"</f>
        <v>SNUG-201-15-0067</v>
      </c>
      <c r="D281" s="15" t="str">
        <f>CONCATENATE("PNEUMATIK D.O.O.")</f>
        <v>PNEUMATIK D.O.O.</v>
      </c>
      <c r="E281" s="16">
        <v>42303</v>
      </c>
      <c r="F281" s="16">
        <v>42369</v>
      </c>
      <c r="G281" s="13">
        <v>193738</v>
      </c>
      <c r="H281" s="16">
        <v>42369</v>
      </c>
      <c r="I281" s="13">
        <v>190426.75</v>
      </c>
      <c r="J281" s="13">
        <f t="shared" si="17"/>
        <v>238033.4375</v>
      </c>
      <c r="K281" s="6"/>
    </row>
    <row r="282" spans="1:11" x14ac:dyDescent="0.25">
      <c r="A282" s="3">
        <v>8</v>
      </c>
      <c r="B282" s="14" t="s">
        <v>42</v>
      </c>
      <c r="C282" s="15" t="str">
        <f>"NND-201-15-092"</f>
        <v>NND-201-15-092</v>
      </c>
      <c r="D282" s="15" t="str">
        <f>CONCATENATE("PNEUMATIK D.O.O.")</f>
        <v>PNEUMATIK D.O.O.</v>
      </c>
      <c r="E282" s="16">
        <v>42132</v>
      </c>
      <c r="F282" s="16"/>
      <c r="G282" s="13">
        <v>46266</v>
      </c>
      <c r="H282" s="16"/>
      <c r="I282" s="13">
        <v>45186</v>
      </c>
      <c r="J282" s="13">
        <f t="shared" si="17"/>
        <v>56482.5</v>
      </c>
      <c r="K282" s="6"/>
    </row>
    <row r="283" spans="1:11" ht="24" x14ac:dyDescent="0.25">
      <c r="A283" s="3">
        <v>9</v>
      </c>
      <c r="B283" s="14" t="s">
        <v>42</v>
      </c>
      <c r="C283" s="15" t="str">
        <f>"SNUG-201-15-0033"</f>
        <v>SNUG-201-15-0033</v>
      </c>
      <c r="D283" s="15" t="str">
        <f>CONCATENATE("ROBNI CENTAR D.O.O.")</f>
        <v>ROBNI CENTAR D.O.O.</v>
      </c>
      <c r="E283" s="16">
        <v>42108</v>
      </c>
      <c r="F283" s="16">
        <v>42369</v>
      </c>
      <c r="G283" s="13">
        <v>30820</v>
      </c>
      <c r="H283" s="16">
        <v>42369</v>
      </c>
      <c r="I283" s="13">
        <v>6860</v>
      </c>
      <c r="J283" s="13">
        <f t="shared" si="17"/>
        <v>8575</v>
      </c>
      <c r="K283" s="6"/>
    </row>
    <row r="285" spans="1:11" x14ac:dyDescent="0.25">
      <c r="B285" s="41" t="s">
        <v>707</v>
      </c>
      <c r="C285" s="41"/>
      <c r="D285" s="41"/>
      <c r="E285" s="41"/>
      <c r="F285" s="41"/>
      <c r="G285" s="41"/>
      <c r="H285" s="41"/>
      <c r="I285" s="41"/>
      <c r="J285" s="41"/>
      <c r="K285" s="41"/>
    </row>
  </sheetData>
  <sheetProtection algorithmName="SHA-512" hashValue="ikVopBvKkGmQwE6hI47fIFW3gsk6tm7dkbIRTHotD+g19PHy330wKoPdeir3OgnzaFtQ8OIc42AWQgZZhJZT4g==" saltValue="6tK58FVq8nAawxjuB4f3pg==" spinCount="100000" sheet="1" objects="1" scenarios="1"/>
  <mergeCells count="20">
    <mergeCell ref="A228:K228"/>
    <mergeCell ref="A248:H248"/>
    <mergeCell ref="A250:K250"/>
    <mergeCell ref="A271:H271"/>
    <mergeCell ref="B285:K285"/>
    <mergeCell ref="A273:K273"/>
    <mergeCell ref="A202:K202"/>
    <mergeCell ref="A226:H226"/>
    <mergeCell ref="A200:H200"/>
    <mergeCell ref="A1:I1"/>
    <mergeCell ref="A4:H4"/>
    <mergeCell ref="A6:K6"/>
    <mergeCell ref="A120:H120"/>
    <mergeCell ref="A122:K122"/>
    <mergeCell ref="A144:H144"/>
    <mergeCell ref="A146:K146"/>
    <mergeCell ref="A163:H163"/>
    <mergeCell ref="A165:K165"/>
    <mergeCell ref="A180:H180"/>
    <mergeCell ref="A182:K182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D185 D187 D189 D233 D255 D276:D279 D280 D138 D127 D205 D207 D220:D221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686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25.5" x14ac:dyDescent="0.25">
      <c r="A3" s="3">
        <v>1</v>
      </c>
      <c r="B3" s="31" t="s">
        <v>671</v>
      </c>
      <c r="C3" s="3" t="s">
        <v>145</v>
      </c>
      <c r="D3" s="3" t="s">
        <v>700</v>
      </c>
      <c r="E3" s="3" t="s">
        <v>24</v>
      </c>
      <c r="F3" s="21">
        <v>41992</v>
      </c>
      <c r="G3" s="3" t="s">
        <v>659</v>
      </c>
      <c r="H3" s="13">
        <v>98000000</v>
      </c>
      <c r="I3" s="13">
        <v>85633000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30642772.98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146</v>
      </c>
      <c r="C8" s="15" t="str">
        <f>"N 46/2015"</f>
        <v>N 46/2015</v>
      </c>
      <c r="D8" s="15" t="str">
        <f t="shared" ref="D8:D68" si="0">CONCATENATE("INA INDUSTRIJA NAFTE D.D.")</f>
        <v>INA INDUSTRIJA NAFTE D.D.</v>
      </c>
      <c r="E8" s="16">
        <v>42076</v>
      </c>
      <c r="F8" s="16"/>
      <c r="G8" s="13">
        <v>22538.54</v>
      </c>
      <c r="H8" s="16"/>
      <c r="I8" s="13">
        <v>22538.54</v>
      </c>
      <c r="J8" s="13">
        <f>I8*1.25</f>
        <v>28173.175000000003</v>
      </c>
      <c r="K8" s="6"/>
    </row>
    <row r="9" spans="1:11" ht="24" x14ac:dyDescent="0.25">
      <c r="A9" s="3">
        <v>2</v>
      </c>
      <c r="B9" s="14" t="s">
        <v>148</v>
      </c>
      <c r="C9" s="15" t="str">
        <f>"40029060"</f>
        <v>40029060</v>
      </c>
      <c r="D9" s="15" t="str">
        <f t="shared" si="0"/>
        <v>INA INDUSTRIJA NAFTE D.D.</v>
      </c>
      <c r="E9" s="16">
        <v>42024</v>
      </c>
      <c r="F9" s="16"/>
      <c r="G9" s="13">
        <v>10000</v>
      </c>
      <c r="H9" s="16"/>
      <c r="I9" s="13">
        <v>13466.47</v>
      </c>
      <c r="J9" s="13">
        <f t="shared" ref="J9:J69" si="1">I9*1.25</f>
        <v>16833.087499999998</v>
      </c>
      <c r="K9" s="6"/>
    </row>
    <row r="10" spans="1:11" ht="24" x14ac:dyDescent="0.25">
      <c r="A10" s="3">
        <v>3</v>
      </c>
      <c r="B10" s="14" t="s">
        <v>149</v>
      </c>
      <c r="C10" s="15" t="str">
        <f>"2015-02"</f>
        <v>2015-02</v>
      </c>
      <c r="D10" s="15" t="str">
        <f t="shared" si="0"/>
        <v>INA INDUSTRIJA NAFTE D.D.</v>
      </c>
      <c r="E10" s="16">
        <v>42359</v>
      </c>
      <c r="F10" s="16"/>
      <c r="G10" s="13">
        <v>23522.17</v>
      </c>
      <c r="H10" s="16"/>
      <c r="I10" s="13">
        <v>23522.17</v>
      </c>
      <c r="J10" s="13">
        <f t="shared" si="1"/>
        <v>29402.712499999998</v>
      </c>
      <c r="K10" s="6"/>
    </row>
    <row r="11" spans="1:11" ht="24" x14ac:dyDescent="0.25">
      <c r="A11" s="3">
        <v>4</v>
      </c>
      <c r="B11" s="14" t="s">
        <v>149</v>
      </c>
      <c r="C11" s="15" t="str">
        <f>"2015-01"</f>
        <v>2015-01</v>
      </c>
      <c r="D11" s="15" t="str">
        <f t="shared" si="0"/>
        <v>INA INDUSTRIJA NAFTE D.D.</v>
      </c>
      <c r="E11" s="16">
        <v>42262</v>
      </c>
      <c r="F11" s="16">
        <v>42292</v>
      </c>
      <c r="G11" s="13">
        <v>39404.81</v>
      </c>
      <c r="H11" s="16">
        <v>42292</v>
      </c>
      <c r="I11" s="13">
        <v>39404.81</v>
      </c>
      <c r="J11" s="13">
        <f t="shared" si="1"/>
        <v>49256.012499999997</v>
      </c>
      <c r="K11" s="6"/>
    </row>
    <row r="12" spans="1:11" ht="36" x14ac:dyDescent="0.25">
      <c r="A12" s="3">
        <v>5</v>
      </c>
      <c r="B12" s="14" t="s">
        <v>150</v>
      </c>
      <c r="C12" s="15" t="str">
        <f>"50457193-00062/15"</f>
        <v>50457193-00062/15</v>
      </c>
      <c r="D12" s="15" t="str">
        <f t="shared" si="0"/>
        <v>INA INDUSTRIJA NAFTE D.D.</v>
      </c>
      <c r="E12" s="16">
        <v>42051</v>
      </c>
      <c r="F12" s="16"/>
      <c r="G12" s="13">
        <v>46240</v>
      </c>
      <c r="H12" s="16"/>
      <c r="I12" s="13">
        <v>46240</v>
      </c>
      <c r="J12" s="13">
        <f t="shared" si="1"/>
        <v>57800</v>
      </c>
      <c r="K12" s="6"/>
    </row>
    <row r="13" spans="1:11" ht="24" x14ac:dyDescent="0.25">
      <c r="A13" s="3">
        <v>6</v>
      </c>
      <c r="B13" s="14" t="s">
        <v>151</v>
      </c>
      <c r="C13" s="15" t="str">
        <f>"304"</f>
        <v>304</v>
      </c>
      <c r="D13" s="15" t="str">
        <f t="shared" si="0"/>
        <v>INA INDUSTRIJA NAFTE D.D.</v>
      </c>
      <c r="E13" s="16">
        <v>42139</v>
      </c>
      <c r="F13" s="16"/>
      <c r="G13" s="13">
        <v>162312.29</v>
      </c>
      <c r="H13" s="16"/>
      <c r="I13" s="13">
        <v>162312.39000000001</v>
      </c>
      <c r="J13" s="13">
        <f t="shared" si="1"/>
        <v>202890.48750000002</v>
      </c>
      <c r="K13" s="6"/>
    </row>
    <row r="14" spans="1:11" ht="24" x14ac:dyDescent="0.25">
      <c r="A14" s="3">
        <v>7</v>
      </c>
      <c r="B14" s="14" t="s">
        <v>41</v>
      </c>
      <c r="C14" s="15" t="str">
        <f>"NAR 1784"</f>
        <v>NAR 1784</v>
      </c>
      <c r="D14" s="15" t="str">
        <f t="shared" si="0"/>
        <v>INA INDUSTRIJA NAFTE D.D.</v>
      </c>
      <c r="E14" s="16">
        <v>42333</v>
      </c>
      <c r="F14" s="16"/>
      <c r="G14" s="13">
        <v>6560</v>
      </c>
      <c r="H14" s="16"/>
      <c r="I14" s="13">
        <v>6560</v>
      </c>
      <c r="J14" s="13">
        <f t="shared" si="1"/>
        <v>8200</v>
      </c>
      <c r="K14" s="6"/>
    </row>
    <row r="15" spans="1:11" ht="24" x14ac:dyDescent="0.25">
      <c r="A15" s="3">
        <v>8</v>
      </c>
      <c r="B15" s="14" t="s">
        <v>25</v>
      </c>
      <c r="C15" s="15" t="str">
        <f>"2015-66"</f>
        <v>2015-66</v>
      </c>
      <c r="D15" s="15" t="str">
        <f t="shared" si="0"/>
        <v>INA INDUSTRIJA NAFTE D.D.</v>
      </c>
      <c r="E15" s="16">
        <v>42317</v>
      </c>
      <c r="F15" s="16"/>
      <c r="G15" s="13">
        <v>18028</v>
      </c>
      <c r="H15" s="16"/>
      <c r="I15" s="13">
        <v>18028</v>
      </c>
      <c r="J15" s="13">
        <f t="shared" si="1"/>
        <v>22535</v>
      </c>
      <c r="K15" s="6"/>
    </row>
    <row r="16" spans="1:11" ht="24" x14ac:dyDescent="0.25">
      <c r="A16" s="3">
        <v>9</v>
      </c>
      <c r="B16" s="14" t="s">
        <v>25</v>
      </c>
      <c r="C16" s="15" t="str">
        <f>"118-2015-D"</f>
        <v>118-2015-D</v>
      </c>
      <c r="D16" s="15" t="str">
        <f t="shared" si="0"/>
        <v>INA INDUSTRIJA NAFTE D.D.</v>
      </c>
      <c r="E16" s="16">
        <v>42039</v>
      </c>
      <c r="F16" s="16"/>
      <c r="G16" s="13">
        <v>20281.490000000002</v>
      </c>
      <c r="H16" s="16"/>
      <c r="I16" s="13">
        <v>20281.490000000002</v>
      </c>
      <c r="J16" s="13">
        <f t="shared" si="1"/>
        <v>25351.862500000003</v>
      </c>
      <c r="K16" s="6"/>
    </row>
    <row r="17" spans="1:11" ht="24" x14ac:dyDescent="0.25">
      <c r="A17" s="3">
        <v>10</v>
      </c>
      <c r="B17" s="14" t="s">
        <v>46</v>
      </c>
      <c r="C17" s="15" t="str">
        <f>"UG-50457193-00063/15"</f>
        <v>UG-50457193-00063/15</v>
      </c>
      <c r="D17" s="15" t="str">
        <f t="shared" si="0"/>
        <v>INA INDUSTRIJA NAFTE D.D.</v>
      </c>
      <c r="E17" s="16">
        <v>42032</v>
      </c>
      <c r="F17" s="16">
        <v>42369</v>
      </c>
      <c r="G17" s="13">
        <v>9548</v>
      </c>
      <c r="H17" s="16">
        <v>42369</v>
      </c>
      <c r="I17" s="13">
        <v>3042</v>
      </c>
      <c r="J17" s="13">
        <f t="shared" si="1"/>
        <v>3802.5</v>
      </c>
      <c r="K17" s="6"/>
    </row>
    <row r="18" spans="1:11" ht="24" x14ac:dyDescent="0.25">
      <c r="A18" s="3">
        <v>11</v>
      </c>
      <c r="B18" s="14" t="s">
        <v>152</v>
      </c>
      <c r="C18" s="15" t="str">
        <f>"151/2015"</f>
        <v>151/2015</v>
      </c>
      <c r="D18" s="15" t="str">
        <f t="shared" si="0"/>
        <v>INA INDUSTRIJA NAFTE D.D.</v>
      </c>
      <c r="E18" s="16">
        <v>42107</v>
      </c>
      <c r="F18" s="16"/>
      <c r="G18" s="13">
        <v>44746.68</v>
      </c>
      <c r="H18" s="16"/>
      <c r="I18" s="13">
        <v>44746.68</v>
      </c>
      <c r="J18" s="13">
        <f t="shared" si="1"/>
        <v>55933.35</v>
      </c>
      <c r="K18" s="6"/>
    </row>
    <row r="19" spans="1:11" ht="24" x14ac:dyDescent="0.25">
      <c r="A19" s="3">
        <v>12</v>
      </c>
      <c r="B19" s="14" t="s">
        <v>153</v>
      </c>
      <c r="C19" s="15" t="str">
        <f>"UG-50457193"</f>
        <v>UG-50457193</v>
      </c>
      <c r="D19" s="15" t="str">
        <f t="shared" si="0"/>
        <v>INA INDUSTRIJA NAFTE D.D.</v>
      </c>
      <c r="E19" s="16">
        <v>42031</v>
      </c>
      <c r="F19" s="16"/>
      <c r="G19" s="13">
        <v>2480000</v>
      </c>
      <c r="H19" s="16"/>
      <c r="I19" s="13">
        <v>872253.43999999994</v>
      </c>
      <c r="J19" s="13">
        <f t="shared" si="1"/>
        <v>1090316.7999999998</v>
      </c>
      <c r="K19" s="6"/>
    </row>
    <row r="20" spans="1:11" ht="24" x14ac:dyDescent="0.25">
      <c r="A20" s="3">
        <v>13</v>
      </c>
      <c r="B20" s="14" t="s">
        <v>154</v>
      </c>
      <c r="C20" s="15" t="str">
        <f>"406-07/15-01/03"</f>
        <v>406-07/15-01/03</v>
      </c>
      <c r="D20" s="15" t="str">
        <f t="shared" si="0"/>
        <v>INA INDUSTRIJA NAFTE D.D.</v>
      </c>
      <c r="E20" s="16">
        <v>42012</v>
      </c>
      <c r="F20" s="16"/>
      <c r="G20" s="13">
        <v>107131.11</v>
      </c>
      <c r="H20" s="16"/>
      <c r="I20" s="13">
        <v>107131.11</v>
      </c>
      <c r="J20" s="13">
        <f t="shared" si="1"/>
        <v>133913.88750000001</v>
      </c>
      <c r="K20" s="6"/>
    </row>
    <row r="21" spans="1:11" ht="24" x14ac:dyDescent="0.25">
      <c r="A21" s="3">
        <v>14</v>
      </c>
      <c r="B21" s="14"/>
      <c r="C21" s="15" t="str">
        <f>"UG-50457193-00073/15"</f>
        <v>UG-50457193-00073/15</v>
      </c>
      <c r="D21" s="15" t="str">
        <f t="shared" si="0"/>
        <v>INA INDUSTRIJA NAFTE D.D.</v>
      </c>
      <c r="E21" s="16">
        <v>42005</v>
      </c>
      <c r="F21" s="16"/>
      <c r="G21" s="13">
        <v>13280</v>
      </c>
      <c r="H21" s="16"/>
      <c r="I21" s="13">
        <v>13280</v>
      </c>
      <c r="J21" s="13">
        <f t="shared" si="1"/>
        <v>16600</v>
      </c>
      <c r="K21" s="6"/>
    </row>
    <row r="22" spans="1:11" ht="24" x14ac:dyDescent="0.25">
      <c r="A22" s="3">
        <v>15</v>
      </c>
      <c r="B22" s="14"/>
      <c r="C22" s="15" t="str">
        <f>"50457193-00019/15"</f>
        <v>50457193-00019/15</v>
      </c>
      <c r="D22" s="15" t="str">
        <f t="shared" si="0"/>
        <v>INA INDUSTRIJA NAFTE D.D.</v>
      </c>
      <c r="E22" s="16">
        <v>42020</v>
      </c>
      <c r="F22" s="16"/>
      <c r="G22" s="13">
        <v>76619</v>
      </c>
      <c r="H22" s="16"/>
      <c r="I22" s="13">
        <v>21306</v>
      </c>
      <c r="J22" s="13">
        <f t="shared" si="1"/>
        <v>26632.5</v>
      </c>
      <c r="K22" s="6"/>
    </row>
    <row r="23" spans="1:11" ht="48" x14ac:dyDescent="0.25">
      <c r="A23" s="3">
        <v>16</v>
      </c>
      <c r="B23" s="14" t="s">
        <v>155</v>
      </c>
      <c r="C23" s="15" t="str">
        <f>"218-2015"</f>
        <v>218-2015</v>
      </c>
      <c r="D23" s="15" t="str">
        <f t="shared" si="0"/>
        <v>INA INDUSTRIJA NAFTE D.D.</v>
      </c>
      <c r="E23" s="16">
        <v>42313</v>
      </c>
      <c r="F23" s="16"/>
      <c r="G23" s="13">
        <v>12512</v>
      </c>
      <c r="H23" s="16"/>
      <c r="I23" s="13">
        <v>12512</v>
      </c>
      <c r="J23" s="13">
        <f t="shared" si="1"/>
        <v>15640</v>
      </c>
      <c r="K23" s="6"/>
    </row>
    <row r="24" spans="1:11" ht="48" x14ac:dyDescent="0.25">
      <c r="A24" s="3">
        <v>17</v>
      </c>
      <c r="B24" s="14" t="s">
        <v>155</v>
      </c>
      <c r="C24" s="15" t="str">
        <f>"61/2015"</f>
        <v>61/2015</v>
      </c>
      <c r="D24" s="15" t="str">
        <f t="shared" si="0"/>
        <v>INA INDUSTRIJA NAFTE D.D.</v>
      </c>
      <c r="E24" s="16">
        <v>42103</v>
      </c>
      <c r="F24" s="16"/>
      <c r="G24" s="13">
        <v>7376</v>
      </c>
      <c r="H24" s="16"/>
      <c r="I24" s="13">
        <v>7376</v>
      </c>
      <c r="J24" s="13">
        <f t="shared" si="1"/>
        <v>9220</v>
      </c>
      <c r="K24" s="6"/>
    </row>
    <row r="25" spans="1:11" ht="24" x14ac:dyDescent="0.25">
      <c r="A25" s="3">
        <v>18</v>
      </c>
      <c r="B25" s="14" t="s">
        <v>156</v>
      </c>
      <c r="C25" s="15" t="str">
        <f>"UG 8/2015-1 MSPM"</f>
        <v>UG 8/2015-1 MSPM</v>
      </c>
      <c r="D25" s="15" t="str">
        <f t="shared" si="0"/>
        <v>INA INDUSTRIJA NAFTE D.D.</v>
      </c>
      <c r="E25" s="16">
        <v>42081</v>
      </c>
      <c r="F25" s="16"/>
      <c r="G25" s="13">
        <v>9636630</v>
      </c>
      <c r="H25" s="16"/>
      <c r="I25" s="13">
        <v>158492.57999999999</v>
      </c>
      <c r="J25" s="13">
        <f t="shared" si="1"/>
        <v>198115.72499999998</v>
      </c>
      <c r="K25" s="6"/>
    </row>
    <row r="26" spans="1:11" ht="24" x14ac:dyDescent="0.25">
      <c r="A26" s="3">
        <v>19</v>
      </c>
      <c r="B26" s="14" t="s">
        <v>152</v>
      </c>
      <c r="C26" s="15" t="str">
        <f>"485/2015"</f>
        <v>485/2015</v>
      </c>
      <c r="D26" s="15" t="str">
        <f t="shared" si="0"/>
        <v>INA INDUSTRIJA NAFTE D.D.</v>
      </c>
      <c r="E26" s="16">
        <v>42359</v>
      </c>
      <c r="F26" s="16"/>
      <c r="G26" s="13">
        <v>13312.98</v>
      </c>
      <c r="H26" s="16"/>
      <c r="I26" s="13">
        <v>13312.98</v>
      </c>
      <c r="J26" s="13">
        <f t="shared" si="1"/>
        <v>16641.224999999999</v>
      </c>
      <c r="K26" s="6"/>
    </row>
    <row r="27" spans="1:11" ht="36" x14ac:dyDescent="0.25">
      <c r="A27" s="3">
        <v>20</v>
      </c>
      <c r="B27" s="14" t="s">
        <v>157</v>
      </c>
      <c r="C27" s="15" t="str">
        <f>"358/2015"</f>
        <v>358/2015</v>
      </c>
      <c r="D27" s="15" t="str">
        <f t="shared" si="0"/>
        <v>INA INDUSTRIJA NAFTE D.D.</v>
      </c>
      <c r="E27" s="16">
        <v>42304</v>
      </c>
      <c r="F27" s="16"/>
      <c r="G27" s="13">
        <v>1521</v>
      </c>
      <c r="H27" s="16"/>
      <c r="I27" s="13">
        <v>1521</v>
      </c>
      <c r="J27" s="13">
        <f t="shared" si="1"/>
        <v>1901.25</v>
      </c>
      <c r="K27" s="6"/>
    </row>
    <row r="28" spans="1:11" ht="36" x14ac:dyDescent="0.25">
      <c r="A28" s="3">
        <v>21</v>
      </c>
      <c r="B28" s="14" t="s">
        <v>157</v>
      </c>
      <c r="C28" s="15" t="str">
        <f>"59/2015"</f>
        <v>59/2015</v>
      </c>
      <c r="D28" s="15" t="str">
        <f t="shared" si="0"/>
        <v>INA INDUSTRIJA NAFTE D.D.</v>
      </c>
      <c r="E28" s="16">
        <v>42053</v>
      </c>
      <c r="F28" s="16"/>
      <c r="G28" s="13">
        <v>38008.699999999997</v>
      </c>
      <c r="H28" s="16"/>
      <c r="I28" s="13">
        <v>38008.699999999997</v>
      </c>
      <c r="J28" s="13">
        <f t="shared" si="1"/>
        <v>47510.875</v>
      </c>
      <c r="K28" s="6"/>
    </row>
    <row r="29" spans="1:11" ht="24" x14ac:dyDescent="0.25">
      <c r="A29" s="3">
        <v>22</v>
      </c>
      <c r="B29" s="14" t="s">
        <v>159</v>
      </c>
      <c r="C29" s="15" t="str">
        <f>"01/2015"</f>
        <v>01/2015</v>
      </c>
      <c r="D29" s="15" t="str">
        <f t="shared" si="0"/>
        <v>INA INDUSTRIJA NAFTE D.D.</v>
      </c>
      <c r="E29" s="16">
        <v>42061</v>
      </c>
      <c r="F29" s="16"/>
      <c r="G29" s="13">
        <v>15664</v>
      </c>
      <c r="H29" s="16"/>
      <c r="I29" s="13">
        <v>15664</v>
      </c>
      <c r="J29" s="13">
        <f t="shared" si="1"/>
        <v>19580</v>
      </c>
      <c r="K29" s="6"/>
    </row>
    <row r="30" spans="1:11" ht="36" x14ac:dyDescent="0.25">
      <c r="A30" s="3">
        <v>23</v>
      </c>
      <c r="B30" s="14" t="s">
        <v>160</v>
      </c>
      <c r="C30" s="15" t="str">
        <f>"333"</f>
        <v>333</v>
      </c>
      <c r="D30" s="15" t="str">
        <f t="shared" si="0"/>
        <v>INA INDUSTRIJA NAFTE D.D.</v>
      </c>
      <c r="E30" s="16">
        <v>42272</v>
      </c>
      <c r="F30" s="16"/>
      <c r="G30" s="13">
        <v>9675</v>
      </c>
      <c r="H30" s="16"/>
      <c r="I30" s="13">
        <v>9675</v>
      </c>
      <c r="J30" s="13">
        <f t="shared" si="1"/>
        <v>12093.75</v>
      </c>
      <c r="K30" s="6"/>
    </row>
    <row r="31" spans="1:11" ht="24" x14ac:dyDescent="0.25">
      <c r="A31" s="3">
        <v>24</v>
      </c>
      <c r="B31" s="14" t="s">
        <v>161</v>
      </c>
      <c r="C31" s="15" t="str">
        <f>"01/15"</f>
        <v>01/15</v>
      </c>
      <c r="D31" s="15" t="str">
        <f t="shared" si="0"/>
        <v>INA INDUSTRIJA NAFTE D.D.</v>
      </c>
      <c r="E31" s="16">
        <v>42361</v>
      </c>
      <c r="F31" s="16"/>
      <c r="G31" s="13">
        <v>7419</v>
      </c>
      <c r="H31" s="16"/>
      <c r="I31" s="13">
        <v>7419</v>
      </c>
      <c r="J31" s="13">
        <f t="shared" si="1"/>
        <v>9273.75</v>
      </c>
      <c r="K31" s="6"/>
    </row>
    <row r="32" spans="1:11" ht="24" x14ac:dyDescent="0.25">
      <c r="A32" s="3">
        <v>25</v>
      </c>
      <c r="B32" s="14" t="s">
        <v>162</v>
      </c>
      <c r="C32" s="15" t="str">
        <f>"145-2015"</f>
        <v>145-2015</v>
      </c>
      <c r="D32" s="15" t="str">
        <f t="shared" si="0"/>
        <v>INA INDUSTRIJA NAFTE D.D.</v>
      </c>
      <c r="E32" s="16">
        <v>42328</v>
      </c>
      <c r="F32" s="16">
        <v>42328</v>
      </c>
      <c r="G32" s="13">
        <v>10637.87</v>
      </c>
      <c r="H32" s="16">
        <v>42328</v>
      </c>
      <c r="I32" s="13">
        <v>10637.87</v>
      </c>
      <c r="J32" s="13">
        <f t="shared" si="1"/>
        <v>13297.337500000001</v>
      </c>
      <c r="K32" s="6"/>
    </row>
    <row r="33" spans="1:11" ht="24" x14ac:dyDescent="0.25">
      <c r="A33" s="3">
        <v>26</v>
      </c>
      <c r="B33" s="14" t="s">
        <v>163</v>
      </c>
      <c r="C33" s="15" t="str">
        <f>"4/2014-16"</f>
        <v>4/2014-16</v>
      </c>
      <c r="D33" s="15" t="str">
        <f t="shared" si="0"/>
        <v>INA INDUSTRIJA NAFTE D.D.</v>
      </c>
      <c r="E33" s="16">
        <v>42304</v>
      </c>
      <c r="F33" s="16">
        <v>42304</v>
      </c>
      <c r="G33" s="13">
        <v>26621</v>
      </c>
      <c r="H33" s="16">
        <v>42304</v>
      </c>
      <c r="I33" s="13">
        <v>21393</v>
      </c>
      <c r="J33" s="13">
        <f t="shared" si="1"/>
        <v>26741.25</v>
      </c>
      <c r="K33" s="6"/>
    </row>
    <row r="34" spans="1:11" ht="24" x14ac:dyDescent="0.25">
      <c r="A34" s="3">
        <v>27</v>
      </c>
      <c r="B34" s="14" t="s">
        <v>164</v>
      </c>
      <c r="C34" s="15" t="str">
        <f>"UG-50457193-00144/15"</f>
        <v>UG-50457193-00144/15</v>
      </c>
      <c r="D34" s="15" t="str">
        <f t="shared" si="0"/>
        <v>INA INDUSTRIJA NAFTE D.D.</v>
      </c>
      <c r="E34" s="16">
        <v>42307</v>
      </c>
      <c r="F34" s="16">
        <v>42719</v>
      </c>
      <c r="G34" s="13">
        <v>91272</v>
      </c>
      <c r="H34" s="16">
        <v>42719</v>
      </c>
      <c r="I34" s="13">
        <v>60495</v>
      </c>
      <c r="J34" s="13">
        <f t="shared" si="1"/>
        <v>75618.75</v>
      </c>
      <c r="K34" s="6"/>
    </row>
    <row r="35" spans="1:11" ht="24" x14ac:dyDescent="0.25">
      <c r="A35" s="3">
        <v>28</v>
      </c>
      <c r="B35" s="14" t="s">
        <v>165</v>
      </c>
      <c r="C35" s="15" t="str">
        <f>"269/2015"</f>
        <v>269/2015</v>
      </c>
      <c r="D35" s="15" t="str">
        <f t="shared" si="0"/>
        <v>INA INDUSTRIJA NAFTE D.D.</v>
      </c>
      <c r="E35" s="16">
        <v>42296</v>
      </c>
      <c r="F35" s="16">
        <v>42296</v>
      </c>
      <c r="G35" s="13">
        <v>0</v>
      </c>
      <c r="H35" s="16">
        <v>42296</v>
      </c>
      <c r="I35" s="13">
        <v>6186</v>
      </c>
      <c r="J35" s="13">
        <f t="shared" si="1"/>
        <v>7732.5</v>
      </c>
      <c r="K35" s="6"/>
    </row>
    <row r="36" spans="1:11" ht="24" x14ac:dyDescent="0.25">
      <c r="A36" s="3">
        <v>29</v>
      </c>
      <c r="B36" s="14" t="s">
        <v>166</v>
      </c>
      <c r="C36" s="15" t="str">
        <f>"UG-50457193-00142/15"</f>
        <v>UG-50457193-00142/15</v>
      </c>
      <c r="D36" s="15" t="str">
        <f t="shared" si="0"/>
        <v>INA INDUSTRIJA NAFTE D.D.</v>
      </c>
      <c r="E36" s="16">
        <v>42284</v>
      </c>
      <c r="F36" s="16">
        <v>42719</v>
      </c>
      <c r="G36" s="13">
        <v>48276</v>
      </c>
      <c r="H36" s="16">
        <v>42719</v>
      </c>
      <c r="I36" s="13">
        <v>8045</v>
      </c>
      <c r="J36" s="13">
        <f t="shared" si="1"/>
        <v>10056.25</v>
      </c>
      <c r="K36" s="6"/>
    </row>
    <row r="37" spans="1:11" ht="24" x14ac:dyDescent="0.25">
      <c r="A37" s="3">
        <v>30</v>
      </c>
      <c r="B37" s="14" t="s">
        <v>167</v>
      </c>
      <c r="C37" s="15" t="str">
        <f>"UG-50457193-00141/15"</f>
        <v>UG-50457193-00141/15</v>
      </c>
      <c r="D37" s="15" t="str">
        <f t="shared" si="0"/>
        <v>INA INDUSTRIJA NAFTE D.D.</v>
      </c>
      <c r="E37" s="16">
        <v>42283</v>
      </c>
      <c r="F37" s="16">
        <v>42649</v>
      </c>
      <c r="G37" s="13">
        <v>0</v>
      </c>
      <c r="H37" s="16">
        <v>42649</v>
      </c>
      <c r="I37" s="13">
        <v>34245.760000000002</v>
      </c>
      <c r="J37" s="13">
        <f t="shared" si="1"/>
        <v>42807.200000000004</v>
      </c>
      <c r="K37" s="6"/>
    </row>
    <row r="38" spans="1:11" ht="24" x14ac:dyDescent="0.25">
      <c r="A38" s="3">
        <v>31</v>
      </c>
      <c r="B38" s="14" t="s">
        <v>168</v>
      </c>
      <c r="C38" s="15" t="str">
        <f>"UG-50457193-00127/15"</f>
        <v>UG-50457193-00127/15</v>
      </c>
      <c r="D38" s="15" t="str">
        <f t="shared" si="0"/>
        <v>INA INDUSTRIJA NAFTE D.D.</v>
      </c>
      <c r="E38" s="16">
        <v>42258</v>
      </c>
      <c r="F38" s="16">
        <v>42719</v>
      </c>
      <c r="G38" s="13">
        <v>49728</v>
      </c>
      <c r="H38" s="16">
        <v>42719</v>
      </c>
      <c r="I38" s="13">
        <v>11665.5</v>
      </c>
      <c r="J38" s="13">
        <f t="shared" si="1"/>
        <v>14581.875</v>
      </c>
      <c r="K38" s="6"/>
    </row>
    <row r="39" spans="1:11" ht="24" x14ac:dyDescent="0.25">
      <c r="A39" s="3">
        <v>32</v>
      </c>
      <c r="B39" s="14" t="s">
        <v>169</v>
      </c>
      <c r="C39" s="15" t="str">
        <f>"UG-50457193-00140/15"</f>
        <v>UG-50457193-00140/15</v>
      </c>
      <c r="D39" s="15" t="str">
        <f t="shared" si="0"/>
        <v>INA INDUSTRIJA NAFTE D.D.</v>
      </c>
      <c r="E39" s="16">
        <v>42277</v>
      </c>
      <c r="F39" s="16">
        <v>42719</v>
      </c>
      <c r="G39" s="13">
        <v>17736.400000000001</v>
      </c>
      <c r="H39" s="16">
        <v>42719</v>
      </c>
      <c r="I39" s="13">
        <v>3457.3</v>
      </c>
      <c r="J39" s="13">
        <f t="shared" si="1"/>
        <v>4321.625</v>
      </c>
      <c r="K39" s="6"/>
    </row>
    <row r="40" spans="1:11" ht="24" x14ac:dyDescent="0.25">
      <c r="A40" s="3">
        <v>33</v>
      </c>
      <c r="B40" s="14" t="s">
        <v>170</v>
      </c>
      <c r="C40" s="15" t="str">
        <f>"UG-50457193-00136/15"</f>
        <v>UG-50457193-00136/15</v>
      </c>
      <c r="D40" s="15" t="str">
        <f t="shared" si="0"/>
        <v>INA INDUSTRIJA NAFTE D.D.</v>
      </c>
      <c r="E40" s="16">
        <v>42275</v>
      </c>
      <c r="F40" s="16">
        <v>42719</v>
      </c>
      <c r="G40" s="13">
        <v>285696</v>
      </c>
      <c r="H40" s="16">
        <v>42719</v>
      </c>
      <c r="I40" s="13">
        <v>0</v>
      </c>
      <c r="J40" s="13">
        <f t="shared" si="1"/>
        <v>0</v>
      </c>
      <c r="K40" s="6"/>
    </row>
    <row r="41" spans="1:11" ht="24" x14ac:dyDescent="0.25">
      <c r="A41" s="3">
        <v>34</v>
      </c>
      <c r="B41" s="14" t="s">
        <v>170</v>
      </c>
      <c r="C41" s="15" t="str">
        <f>"1."</f>
        <v>1.</v>
      </c>
      <c r="D41" s="15" t="str">
        <f t="shared" si="0"/>
        <v>INA INDUSTRIJA NAFTE D.D.</v>
      </c>
      <c r="E41" s="16">
        <v>42262</v>
      </c>
      <c r="F41" s="16">
        <v>42262</v>
      </c>
      <c r="G41" s="13">
        <v>36088.800000000003</v>
      </c>
      <c r="H41" s="16">
        <v>42262</v>
      </c>
      <c r="I41" s="13">
        <v>36130.379999999997</v>
      </c>
      <c r="J41" s="13">
        <f t="shared" si="1"/>
        <v>45162.974999999999</v>
      </c>
      <c r="K41" s="6"/>
    </row>
    <row r="42" spans="1:11" ht="24" x14ac:dyDescent="0.25">
      <c r="A42" s="3">
        <v>35</v>
      </c>
      <c r="B42" s="14" t="s">
        <v>171</v>
      </c>
      <c r="C42" s="15" t="str">
        <f>"UG-50457193-00126/15"</f>
        <v>UG-50457193-00126/15</v>
      </c>
      <c r="D42" s="15" t="str">
        <f t="shared" si="0"/>
        <v>INA INDUSTRIJA NAFTE D.D.</v>
      </c>
      <c r="E42" s="16">
        <v>42248</v>
      </c>
      <c r="F42" s="16">
        <v>42719</v>
      </c>
      <c r="G42" s="13">
        <v>150600</v>
      </c>
      <c r="H42" s="16">
        <v>42719</v>
      </c>
      <c r="I42" s="13">
        <v>18558</v>
      </c>
      <c r="J42" s="13">
        <f t="shared" si="1"/>
        <v>23197.5</v>
      </c>
      <c r="K42" s="6"/>
    </row>
    <row r="43" spans="1:11" ht="24" x14ac:dyDescent="0.25">
      <c r="A43" s="3">
        <v>36</v>
      </c>
      <c r="B43" s="14" t="s">
        <v>172</v>
      </c>
      <c r="C43" s="15" t="str">
        <f>"UG-50457193-00119/15"</f>
        <v>UG-50457193-00119/15</v>
      </c>
      <c r="D43" s="15" t="str">
        <f t="shared" si="0"/>
        <v>INA INDUSTRIJA NAFTE D.D.</v>
      </c>
      <c r="E43" s="16">
        <v>42244</v>
      </c>
      <c r="F43" s="16">
        <v>42720</v>
      </c>
      <c r="G43" s="13">
        <v>1146282.5</v>
      </c>
      <c r="H43" s="16">
        <v>42720</v>
      </c>
      <c r="I43" s="13">
        <v>829982.19</v>
      </c>
      <c r="J43" s="13">
        <f t="shared" si="1"/>
        <v>1037477.7374999999</v>
      </c>
      <c r="K43" s="6"/>
    </row>
    <row r="44" spans="1:11" ht="24" x14ac:dyDescent="0.25">
      <c r="A44" s="3">
        <v>37</v>
      </c>
      <c r="B44" s="14" t="s">
        <v>173</v>
      </c>
      <c r="C44" s="15" t="str">
        <f>"UG-50457193-00107/15"</f>
        <v>UG-50457193-00107/15</v>
      </c>
      <c r="D44" s="15" t="str">
        <f t="shared" si="0"/>
        <v>INA INDUSTRIJA NAFTE D.D.</v>
      </c>
      <c r="E44" s="16">
        <v>42170</v>
      </c>
      <c r="F44" s="16">
        <v>42369</v>
      </c>
      <c r="G44" s="13">
        <v>99520</v>
      </c>
      <c r="H44" s="16">
        <v>42369</v>
      </c>
      <c r="I44" s="40">
        <v>0</v>
      </c>
      <c r="J44" s="40">
        <f t="shared" si="1"/>
        <v>0</v>
      </c>
      <c r="K44" s="6"/>
    </row>
    <row r="45" spans="1:11" ht="24" x14ac:dyDescent="0.25">
      <c r="A45" s="3">
        <v>38</v>
      </c>
      <c r="B45" s="14" t="s">
        <v>174</v>
      </c>
      <c r="C45" s="15" t="str">
        <f>"93/2015"</f>
        <v>93/2015</v>
      </c>
      <c r="D45" s="15" t="str">
        <f t="shared" si="0"/>
        <v>INA INDUSTRIJA NAFTE D.D.</v>
      </c>
      <c r="E45" s="16">
        <v>42151</v>
      </c>
      <c r="F45" s="16">
        <v>42151</v>
      </c>
      <c r="G45" s="13">
        <v>20560</v>
      </c>
      <c r="H45" s="16">
        <v>42151</v>
      </c>
      <c r="I45" s="13">
        <v>20157.03</v>
      </c>
      <c r="J45" s="13">
        <f t="shared" si="1"/>
        <v>25196.287499999999</v>
      </c>
      <c r="K45" s="6"/>
    </row>
    <row r="46" spans="1:11" ht="24" x14ac:dyDescent="0.25">
      <c r="A46" s="3">
        <v>39</v>
      </c>
      <c r="B46" s="14" t="s">
        <v>175</v>
      </c>
      <c r="C46" s="15" t="str">
        <f>"100-115/15"</f>
        <v>100-115/15</v>
      </c>
      <c r="D46" s="15" t="str">
        <f t="shared" si="0"/>
        <v>INA INDUSTRIJA NAFTE D.D.</v>
      </c>
      <c r="E46" s="16">
        <v>42142</v>
      </c>
      <c r="F46" s="16">
        <v>42142</v>
      </c>
      <c r="G46" s="13">
        <v>41676.58</v>
      </c>
      <c r="H46" s="16">
        <v>42142</v>
      </c>
      <c r="I46" s="13">
        <v>41676.58</v>
      </c>
      <c r="J46" s="13">
        <f t="shared" si="1"/>
        <v>52095.725000000006</v>
      </c>
      <c r="K46" s="6"/>
    </row>
    <row r="47" spans="1:11" ht="24" x14ac:dyDescent="0.25">
      <c r="A47" s="3">
        <v>40</v>
      </c>
      <c r="B47" s="14" t="s">
        <v>176</v>
      </c>
      <c r="C47" s="15" t="str">
        <f>"UG-50457193-00096/15"</f>
        <v>UG-50457193-00096/15</v>
      </c>
      <c r="D47" s="15" t="str">
        <f t="shared" si="0"/>
        <v>INA INDUSTRIJA NAFTE D.D.</v>
      </c>
      <c r="E47" s="16">
        <v>42129</v>
      </c>
      <c r="F47" s="16">
        <v>42719</v>
      </c>
      <c r="G47" s="13">
        <v>147600</v>
      </c>
      <c r="H47" s="16">
        <v>42719</v>
      </c>
      <c r="I47" s="13">
        <v>30600</v>
      </c>
      <c r="J47" s="13">
        <f t="shared" si="1"/>
        <v>38250</v>
      </c>
      <c r="K47" s="6"/>
    </row>
    <row r="48" spans="1:11" ht="24" x14ac:dyDescent="0.25">
      <c r="A48" s="3">
        <v>41</v>
      </c>
      <c r="B48" s="14" t="s">
        <v>177</v>
      </c>
      <c r="C48" s="15" t="str">
        <f>"UG-50457193-00094/15"</f>
        <v>UG-50457193-00094/15</v>
      </c>
      <c r="D48" s="15" t="str">
        <f t="shared" si="0"/>
        <v>INA INDUSTRIJA NAFTE D.D.</v>
      </c>
      <c r="E48" s="16">
        <v>42109</v>
      </c>
      <c r="F48" s="16">
        <v>42720</v>
      </c>
      <c r="G48" s="13">
        <v>279900</v>
      </c>
      <c r="H48" s="16">
        <v>42720</v>
      </c>
      <c r="I48" s="13">
        <v>71066.12</v>
      </c>
      <c r="J48" s="13">
        <f t="shared" si="1"/>
        <v>88832.65</v>
      </c>
      <c r="K48" s="6"/>
    </row>
    <row r="49" spans="1:11" ht="24" x14ac:dyDescent="0.25">
      <c r="A49" s="3">
        <v>42</v>
      </c>
      <c r="B49" s="14" t="s">
        <v>178</v>
      </c>
      <c r="C49" s="15" t="str">
        <f>"INA-UG-DMS-1027590"</f>
        <v>INA-UG-DMS-1027590</v>
      </c>
      <c r="D49" s="15" t="str">
        <f t="shared" si="0"/>
        <v>INA INDUSTRIJA NAFTE D.D.</v>
      </c>
      <c r="E49" s="16">
        <v>42104</v>
      </c>
      <c r="F49" s="16">
        <v>42719</v>
      </c>
      <c r="G49" s="13">
        <v>17781.18</v>
      </c>
      <c r="H49" s="16">
        <v>42719</v>
      </c>
      <c r="I49" s="13">
        <v>17781.18</v>
      </c>
      <c r="J49" s="13">
        <f t="shared" si="1"/>
        <v>22226.474999999999</v>
      </c>
      <c r="K49" s="6"/>
    </row>
    <row r="50" spans="1:11" ht="24" x14ac:dyDescent="0.25">
      <c r="A50" s="3">
        <v>43</v>
      </c>
      <c r="B50" s="14" t="s">
        <v>162</v>
      </c>
      <c r="C50" s="15" t="str">
        <f>"36-2015"</f>
        <v>36-2015</v>
      </c>
      <c r="D50" s="15" t="str">
        <f t="shared" si="0"/>
        <v>INA INDUSTRIJA NAFTE D.D.</v>
      </c>
      <c r="E50" s="16">
        <v>42101</v>
      </c>
      <c r="F50" s="16">
        <v>42101</v>
      </c>
      <c r="G50" s="13">
        <v>5550</v>
      </c>
      <c r="H50" s="16">
        <v>42101</v>
      </c>
      <c r="I50" s="13">
        <v>5550</v>
      </c>
      <c r="J50" s="13">
        <f t="shared" si="1"/>
        <v>6937.5</v>
      </c>
      <c r="K50" s="6"/>
    </row>
    <row r="51" spans="1:11" ht="24" x14ac:dyDescent="0.25">
      <c r="A51" s="3">
        <v>44</v>
      </c>
      <c r="B51" s="14" t="s">
        <v>179</v>
      </c>
      <c r="C51" s="15" t="str">
        <f>"UG-50457193-00080/15"</f>
        <v>UG-50457193-00080/15</v>
      </c>
      <c r="D51" s="15" t="str">
        <f t="shared" si="0"/>
        <v>INA INDUSTRIJA NAFTE D.D.</v>
      </c>
      <c r="E51" s="16">
        <v>42068</v>
      </c>
      <c r="F51" s="16">
        <v>42454</v>
      </c>
      <c r="G51" s="13">
        <v>260549.6</v>
      </c>
      <c r="H51" s="16">
        <v>42454</v>
      </c>
      <c r="I51" s="13">
        <v>158529.10999999999</v>
      </c>
      <c r="J51" s="13">
        <f t="shared" si="1"/>
        <v>198161.38749999998</v>
      </c>
      <c r="K51" s="6"/>
    </row>
    <row r="52" spans="1:11" ht="36" x14ac:dyDescent="0.25">
      <c r="A52" s="3">
        <v>45</v>
      </c>
      <c r="B52" s="14" t="s">
        <v>180</v>
      </c>
      <c r="C52" s="15" t="str">
        <f>"UG-50457193-00084/15"</f>
        <v>UG-50457193-00084/15</v>
      </c>
      <c r="D52" s="15" t="str">
        <f t="shared" si="0"/>
        <v>INA INDUSTRIJA NAFTE D.D.</v>
      </c>
      <c r="E52" s="16">
        <v>42069</v>
      </c>
      <c r="F52" s="16">
        <v>42719</v>
      </c>
      <c r="G52" s="13">
        <v>279993.59999999998</v>
      </c>
      <c r="H52" s="16">
        <v>42719</v>
      </c>
      <c r="I52" s="13">
        <v>99612</v>
      </c>
      <c r="J52" s="13">
        <f t="shared" si="1"/>
        <v>124515</v>
      </c>
      <c r="K52" s="6"/>
    </row>
    <row r="53" spans="1:11" ht="24" x14ac:dyDescent="0.25">
      <c r="A53" s="3">
        <v>46</v>
      </c>
      <c r="B53" s="14" t="s">
        <v>165</v>
      </c>
      <c r="C53" s="15" t="str">
        <f>"57/2015"</f>
        <v>57/2015</v>
      </c>
      <c r="D53" s="15" t="str">
        <f t="shared" si="0"/>
        <v>INA INDUSTRIJA NAFTE D.D.</v>
      </c>
      <c r="E53" s="16">
        <v>42067</v>
      </c>
      <c r="F53" s="16">
        <v>42067</v>
      </c>
      <c r="G53" s="13">
        <v>7777.6</v>
      </c>
      <c r="H53" s="16">
        <v>42067</v>
      </c>
      <c r="I53" s="13">
        <v>7778</v>
      </c>
      <c r="J53" s="13">
        <f t="shared" si="1"/>
        <v>9722.5</v>
      </c>
      <c r="K53" s="6"/>
    </row>
    <row r="54" spans="1:11" ht="24" x14ac:dyDescent="0.25">
      <c r="A54" s="3">
        <v>47</v>
      </c>
      <c r="B54" s="14" t="s">
        <v>62</v>
      </c>
      <c r="C54" s="15" t="str">
        <f>"UG-50457193-00077/15"</f>
        <v>UG-50457193-00077/15</v>
      </c>
      <c r="D54" s="15" t="str">
        <f t="shared" si="0"/>
        <v>INA INDUSTRIJA NAFTE D.D.</v>
      </c>
      <c r="E54" s="16">
        <v>42065</v>
      </c>
      <c r="F54" s="16">
        <v>42369</v>
      </c>
      <c r="G54" s="13">
        <v>9636630</v>
      </c>
      <c r="H54" s="16">
        <v>42369</v>
      </c>
      <c r="I54" s="13">
        <v>6289937.7000000002</v>
      </c>
      <c r="J54" s="13">
        <f t="shared" si="1"/>
        <v>7862422.125</v>
      </c>
      <c r="K54" s="6"/>
    </row>
    <row r="55" spans="1:11" ht="36" x14ac:dyDescent="0.25">
      <c r="A55" s="3">
        <v>48</v>
      </c>
      <c r="B55" s="14" t="s">
        <v>181</v>
      </c>
      <c r="C55" s="15" t="str">
        <f>"UG-50457193-00081/15"</f>
        <v>UG-50457193-00081/15</v>
      </c>
      <c r="D55" s="15" t="str">
        <f t="shared" si="0"/>
        <v>INA INDUSTRIJA NAFTE D.D.</v>
      </c>
      <c r="E55" s="16">
        <v>42068</v>
      </c>
      <c r="F55" s="16">
        <v>42369</v>
      </c>
      <c r="G55" s="13">
        <v>15555.2</v>
      </c>
      <c r="H55" s="16">
        <v>42369</v>
      </c>
      <c r="I55" s="13">
        <v>4662</v>
      </c>
      <c r="J55" s="13">
        <f t="shared" si="1"/>
        <v>5827.5</v>
      </c>
      <c r="K55" s="6"/>
    </row>
    <row r="56" spans="1:11" ht="24" x14ac:dyDescent="0.25">
      <c r="A56" s="3">
        <v>49</v>
      </c>
      <c r="B56" s="14" t="s">
        <v>182</v>
      </c>
      <c r="C56" s="15" t="str">
        <f>"UG-50457193-00076/15"</f>
        <v>UG-50457193-00076/15</v>
      </c>
      <c r="D56" s="15" t="str">
        <f t="shared" si="0"/>
        <v>INA INDUSTRIJA NAFTE D.D.</v>
      </c>
      <c r="E56" s="16">
        <v>42058</v>
      </c>
      <c r="F56" s="16">
        <v>42719</v>
      </c>
      <c r="G56" s="13">
        <v>22768</v>
      </c>
      <c r="H56" s="16">
        <v>42719</v>
      </c>
      <c r="I56" s="13">
        <v>14692</v>
      </c>
      <c r="J56" s="13">
        <f t="shared" si="1"/>
        <v>18365</v>
      </c>
      <c r="K56" s="6"/>
    </row>
    <row r="57" spans="1:11" ht="24" x14ac:dyDescent="0.25">
      <c r="A57" s="3">
        <v>50</v>
      </c>
      <c r="B57" s="14" t="s">
        <v>42</v>
      </c>
      <c r="C57" s="15" t="str">
        <f>"UG-50457193-00066/15"</f>
        <v>UG-50457193-00066/15</v>
      </c>
      <c r="D57" s="15" t="str">
        <f t="shared" si="0"/>
        <v>INA INDUSTRIJA NAFTE D.D.</v>
      </c>
      <c r="E57" s="16">
        <v>42068</v>
      </c>
      <c r="F57" s="16">
        <v>42420</v>
      </c>
      <c r="G57" s="13">
        <v>26101120</v>
      </c>
      <c r="H57" s="16">
        <v>42420</v>
      </c>
      <c r="I57" s="13">
        <v>10253225.67</v>
      </c>
      <c r="J57" s="13">
        <f t="shared" si="1"/>
        <v>12816532.0875</v>
      </c>
      <c r="K57" s="6"/>
    </row>
    <row r="58" spans="1:11" ht="24" x14ac:dyDescent="0.25">
      <c r="A58" s="3">
        <v>51</v>
      </c>
      <c r="B58" s="14" t="s">
        <v>163</v>
      </c>
      <c r="C58" s="15" t="str">
        <f>"4/2014-51"</f>
        <v>4/2014-51</v>
      </c>
      <c r="D58" s="15" t="str">
        <f t="shared" si="0"/>
        <v>INA INDUSTRIJA NAFTE D.D.</v>
      </c>
      <c r="E58" s="16">
        <v>42055</v>
      </c>
      <c r="F58" s="16">
        <v>42055</v>
      </c>
      <c r="G58" s="13">
        <v>19192</v>
      </c>
      <c r="H58" s="16">
        <v>42055</v>
      </c>
      <c r="I58" s="13">
        <v>19243.73</v>
      </c>
      <c r="J58" s="13">
        <f t="shared" si="1"/>
        <v>24054.662499999999</v>
      </c>
      <c r="K58" s="6"/>
    </row>
    <row r="59" spans="1:11" ht="24" x14ac:dyDescent="0.25">
      <c r="A59" s="3">
        <v>52</v>
      </c>
      <c r="B59" s="14" t="s">
        <v>44</v>
      </c>
      <c r="C59" s="15" t="str">
        <f>"UG-50457193-00051/15"</f>
        <v>UG-50457193-00051/15</v>
      </c>
      <c r="D59" s="15" t="str">
        <f t="shared" si="0"/>
        <v>INA INDUSTRIJA NAFTE D.D.</v>
      </c>
      <c r="E59" s="16">
        <v>42042</v>
      </c>
      <c r="F59" s="16">
        <v>42417</v>
      </c>
      <c r="G59" s="13">
        <v>211112</v>
      </c>
      <c r="H59" s="16">
        <v>42417</v>
      </c>
      <c r="I59" s="13">
        <v>84837.47</v>
      </c>
      <c r="J59" s="13">
        <f t="shared" si="1"/>
        <v>106046.83749999999</v>
      </c>
      <c r="K59" s="6"/>
    </row>
    <row r="60" spans="1:11" ht="36" x14ac:dyDescent="0.25">
      <c r="A60" s="3">
        <v>53</v>
      </c>
      <c r="B60" s="14" t="s">
        <v>150</v>
      </c>
      <c r="C60" s="15" t="str">
        <f>"UG-50457193-00062/15"</f>
        <v>UG-50457193-00062/15</v>
      </c>
      <c r="D60" s="15" t="str">
        <f t="shared" si="0"/>
        <v>INA INDUSTRIJA NAFTE D.D.</v>
      </c>
      <c r="E60" s="16">
        <v>42051</v>
      </c>
      <c r="F60" s="16">
        <v>42719</v>
      </c>
      <c r="G60" s="13">
        <v>160864</v>
      </c>
      <c r="H60" s="16">
        <v>42719</v>
      </c>
      <c r="I60" s="13">
        <v>46236</v>
      </c>
      <c r="J60" s="13">
        <f t="shared" si="1"/>
        <v>57795</v>
      </c>
      <c r="K60" s="6"/>
    </row>
    <row r="61" spans="1:11" ht="24" x14ac:dyDescent="0.25">
      <c r="A61" s="3">
        <v>54</v>
      </c>
      <c r="B61" s="14" t="s">
        <v>183</v>
      </c>
      <c r="C61" s="15" t="str">
        <f>"VV-1/2015"</f>
        <v>VV-1/2015</v>
      </c>
      <c r="D61" s="15" t="str">
        <f t="shared" si="0"/>
        <v>INA INDUSTRIJA NAFTE D.D.</v>
      </c>
      <c r="E61" s="16">
        <v>42047</v>
      </c>
      <c r="F61" s="16">
        <v>42412</v>
      </c>
      <c r="G61" s="13">
        <v>768866.32</v>
      </c>
      <c r="H61" s="16">
        <v>42412</v>
      </c>
      <c r="I61" s="13">
        <v>651354.21</v>
      </c>
      <c r="J61" s="13">
        <f t="shared" si="1"/>
        <v>814192.76249999995</v>
      </c>
      <c r="K61" s="6"/>
    </row>
    <row r="62" spans="1:11" ht="24" x14ac:dyDescent="0.25">
      <c r="A62" s="3">
        <v>55</v>
      </c>
      <c r="B62" s="14" t="s">
        <v>184</v>
      </c>
      <c r="C62" s="15" t="str">
        <f>"UG-50457193-00067/15"</f>
        <v>UG-50457193-00067/15</v>
      </c>
      <c r="D62" s="15" t="str">
        <f t="shared" si="0"/>
        <v>INA INDUSTRIJA NAFTE D.D.</v>
      </c>
      <c r="E62" s="16">
        <v>42037</v>
      </c>
      <c r="F62" s="16">
        <v>42369</v>
      </c>
      <c r="G62" s="13">
        <v>192768</v>
      </c>
      <c r="H62" s="16">
        <v>42369</v>
      </c>
      <c r="I62" s="13">
        <v>65329.440000000002</v>
      </c>
      <c r="J62" s="13">
        <f t="shared" si="1"/>
        <v>81661.8</v>
      </c>
      <c r="K62" s="6"/>
    </row>
    <row r="63" spans="1:11" ht="24" x14ac:dyDescent="0.25">
      <c r="A63" s="3">
        <v>56</v>
      </c>
      <c r="B63" s="14" t="s">
        <v>174</v>
      </c>
      <c r="C63" s="15" t="str">
        <f>"30/2015"</f>
        <v>30/2015</v>
      </c>
      <c r="D63" s="15" t="str">
        <f t="shared" si="0"/>
        <v>INA INDUSTRIJA NAFTE D.D.</v>
      </c>
      <c r="E63" s="16">
        <v>42038</v>
      </c>
      <c r="F63" s="16">
        <v>42038</v>
      </c>
      <c r="G63" s="13">
        <v>19824</v>
      </c>
      <c r="H63" s="16">
        <v>42038</v>
      </c>
      <c r="I63" s="13">
        <v>19880.16</v>
      </c>
      <c r="J63" s="13">
        <f t="shared" si="1"/>
        <v>24850.2</v>
      </c>
      <c r="K63" s="6"/>
    </row>
    <row r="64" spans="1:11" ht="24" x14ac:dyDescent="0.25">
      <c r="A64" s="3">
        <v>57</v>
      </c>
      <c r="B64" s="14" t="s">
        <v>33</v>
      </c>
      <c r="C64" s="15" t="str">
        <f>"UG-50457193-00035/15-2"</f>
        <v>UG-50457193-00035/15-2</v>
      </c>
      <c r="D64" s="15" t="str">
        <f t="shared" si="0"/>
        <v>INA INDUSTRIJA NAFTE D.D.</v>
      </c>
      <c r="E64" s="16">
        <v>42037</v>
      </c>
      <c r="F64" s="16">
        <v>42402</v>
      </c>
      <c r="G64" s="13">
        <v>199193.60000000001</v>
      </c>
      <c r="H64" s="16">
        <v>42402</v>
      </c>
      <c r="I64" s="13">
        <v>134501.09</v>
      </c>
      <c r="J64" s="13">
        <f t="shared" si="1"/>
        <v>168126.36249999999</v>
      </c>
      <c r="K64" s="6"/>
    </row>
    <row r="65" spans="1:11" ht="24" x14ac:dyDescent="0.25">
      <c r="A65" s="3">
        <v>58</v>
      </c>
      <c r="B65" s="14" t="s">
        <v>55</v>
      </c>
      <c r="C65" s="15" t="str">
        <f>"1-13-15-1-1"</f>
        <v>1-13-15-1-1</v>
      </c>
      <c r="D65" s="15" t="str">
        <f t="shared" si="0"/>
        <v>INA INDUSTRIJA NAFTE D.D.</v>
      </c>
      <c r="E65" s="16">
        <v>42024</v>
      </c>
      <c r="F65" s="16">
        <v>42723</v>
      </c>
      <c r="G65" s="13">
        <v>43904</v>
      </c>
      <c r="H65" s="16">
        <v>42723</v>
      </c>
      <c r="I65" s="13">
        <v>17737.96</v>
      </c>
      <c r="J65" s="13">
        <f t="shared" si="1"/>
        <v>22172.449999999997</v>
      </c>
      <c r="K65" s="6"/>
    </row>
    <row r="66" spans="1:11" ht="24" x14ac:dyDescent="0.25">
      <c r="A66" s="3">
        <v>59</v>
      </c>
      <c r="B66" s="14" t="s">
        <v>29</v>
      </c>
      <c r="C66" s="15" t="str">
        <f>"UG-50457193-00028/15"</f>
        <v>UG-50457193-00028/15</v>
      </c>
      <c r="D66" s="15" t="str">
        <f t="shared" si="0"/>
        <v>INA INDUSTRIJA NAFTE D.D.</v>
      </c>
      <c r="E66" s="16">
        <v>42034</v>
      </c>
      <c r="F66" s="16">
        <v>42399</v>
      </c>
      <c r="G66" s="13">
        <v>642560</v>
      </c>
      <c r="H66" s="16">
        <v>42399</v>
      </c>
      <c r="I66" s="13">
        <v>281690.64</v>
      </c>
      <c r="J66" s="13">
        <f t="shared" si="1"/>
        <v>352113.30000000005</v>
      </c>
      <c r="K66" s="6"/>
    </row>
    <row r="67" spans="1:11" ht="24" x14ac:dyDescent="0.25">
      <c r="A67" s="3">
        <v>60</v>
      </c>
      <c r="B67" s="14" t="s">
        <v>74</v>
      </c>
      <c r="C67" s="15" t="str">
        <f>"4/12-01 ZP"</f>
        <v>4/12-01 ZP</v>
      </c>
      <c r="D67" s="15" t="str">
        <f t="shared" si="0"/>
        <v>INA INDUSTRIJA NAFTE D.D.</v>
      </c>
      <c r="E67" s="16">
        <v>42429</v>
      </c>
      <c r="F67" s="16">
        <v>42369</v>
      </c>
      <c r="G67" s="13">
        <v>217440</v>
      </c>
      <c r="H67" s="16">
        <v>42369</v>
      </c>
      <c r="I67" s="13">
        <v>245635.32</v>
      </c>
      <c r="J67" s="13">
        <f t="shared" si="1"/>
        <v>307044.15000000002</v>
      </c>
      <c r="K67" s="6"/>
    </row>
    <row r="68" spans="1:11" ht="24" x14ac:dyDescent="0.25">
      <c r="A68" s="3">
        <v>61</v>
      </c>
      <c r="B68" s="14" t="s">
        <v>185</v>
      </c>
      <c r="C68" s="15" t="str">
        <f>"UG-50457193-00043/15"</f>
        <v>UG-50457193-00043/15</v>
      </c>
      <c r="D68" s="15" t="str">
        <f t="shared" si="0"/>
        <v>INA INDUSTRIJA NAFTE D.D.</v>
      </c>
      <c r="E68" s="16">
        <v>42025</v>
      </c>
      <c r="F68" s="16">
        <v>42369</v>
      </c>
      <c r="G68" s="13">
        <v>53312</v>
      </c>
      <c r="H68" s="16">
        <v>42369</v>
      </c>
      <c r="I68" s="13">
        <v>65395.01</v>
      </c>
      <c r="J68" s="13">
        <f t="shared" si="1"/>
        <v>81743.762499999997</v>
      </c>
      <c r="K68" s="6"/>
    </row>
    <row r="69" spans="1:11" ht="24" x14ac:dyDescent="0.25">
      <c r="A69" s="3">
        <v>62</v>
      </c>
      <c r="B69" s="14" t="s">
        <v>186</v>
      </c>
      <c r="C69" s="15" t="str">
        <f>"UG-50457193-00048/15"</f>
        <v>UG-50457193-00048/15</v>
      </c>
      <c r="D69" s="15" t="str">
        <f t="shared" ref="D69:D106" si="2">CONCATENATE("INA INDUSTRIJA NAFTE D.D.")</f>
        <v>INA INDUSTRIJA NAFTE D.D.</v>
      </c>
      <c r="E69" s="16">
        <v>42025</v>
      </c>
      <c r="F69" s="16">
        <v>42369</v>
      </c>
      <c r="G69" s="13">
        <v>219520</v>
      </c>
      <c r="H69" s="16">
        <v>42369</v>
      </c>
      <c r="I69" s="13">
        <v>20762</v>
      </c>
      <c r="J69" s="13">
        <f t="shared" si="1"/>
        <v>25952.5</v>
      </c>
      <c r="K69" s="6"/>
    </row>
    <row r="70" spans="1:11" ht="24" x14ac:dyDescent="0.25">
      <c r="A70" s="3">
        <v>63</v>
      </c>
      <c r="B70" s="14" t="s">
        <v>187</v>
      </c>
      <c r="C70" s="15" t="str">
        <f>"UG-50457193-00045/15"</f>
        <v>UG-50457193-00045/15</v>
      </c>
      <c r="D70" s="15" t="str">
        <f t="shared" si="2"/>
        <v>INA INDUSTRIJA NAFTE D.D.</v>
      </c>
      <c r="E70" s="16">
        <v>42024</v>
      </c>
      <c r="F70" s="16">
        <v>42389</v>
      </c>
      <c r="G70" s="13">
        <v>47040</v>
      </c>
      <c r="H70" s="16">
        <v>42389</v>
      </c>
      <c r="I70" s="13">
        <v>15485.1</v>
      </c>
      <c r="J70" s="13">
        <f t="shared" ref="J70:J106" si="3">I70*1.25</f>
        <v>19356.375</v>
      </c>
      <c r="K70" s="6"/>
    </row>
    <row r="71" spans="1:11" ht="24" x14ac:dyDescent="0.25">
      <c r="A71" s="3">
        <v>64</v>
      </c>
      <c r="B71" s="14" t="s">
        <v>188</v>
      </c>
      <c r="C71" s="15" t="str">
        <f>"10163000"</f>
        <v>10163000</v>
      </c>
      <c r="D71" s="15" t="str">
        <f t="shared" si="2"/>
        <v>INA INDUSTRIJA NAFTE D.D.</v>
      </c>
      <c r="E71" s="16">
        <v>42024</v>
      </c>
      <c r="F71" s="16">
        <v>42369</v>
      </c>
      <c r="G71" s="13">
        <v>141120</v>
      </c>
      <c r="H71" s="16">
        <v>42369</v>
      </c>
      <c r="I71" s="13">
        <v>93571.64</v>
      </c>
      <c r="J71" s="13">
        <f t="shared" si="3"/>
        <v>116964.55</v>
      </c>
      <c r="K71" s="6"/>
    </row>
    <row r="72" spans="1:11" ht="24" x14ac:dyDescent="0.25">
      <c r="A72" s="3">
        <v>65</v>
      </c>
      <c r="B72" s="14" t="s">
        <v>31</v>
      </c>
      <c r="C72" s="15" t="str">
        <f>"UG-50457193-00046/15"</f>
        <v>UG-50457193-00046/15</v>
      </c>
      <c r="D72" s="15" t="str">
        <f t="shared" si="2"/>
        <v>INA INDUSTRIJA NAFTE D.D.</v>
      </c>
      <c r="E72" s="16">
        <v>42025</v>
      </c>
      <c r="F72" s="16">
        <v>42723</v>
      </c>
      <c r="G72" s="13">
        <v>940800</v>
      </c>
      <c r="H72" s="16">
        <v>42723</v>
      </c>
      <c r="I72" s="13">
        <v>289248.34999999998</v>
      </c>
      <c r="J72" s="13">
        <f t="shared" si="3"/>
        <v>361560.4375</v>
      </c>
      <c r="K72" s="6"/>
    </row>
    <row r="73" spans="1:11" ht="24" x14ac:dyDescent="0.25">
      <c r="A73" s="3">
        <v>66</v>
      </c>
      <c r="B73" s="14" t="s">
        <v>189</v>
      </c>
      <c r="C73" s="15" t="str">
        <f>"001-2015"</f>
        <v>001-2015</v>
      </c>
      <c r="D73" s="15" t="str">
        <f t="shared" si="2"/>
        <v>INA INDUSTRIJA NAFTE D.D.</v>
      </c>
      <c r="E73" s="16">
        <v>42017</v>
      </c>
      <c r="F73" s="16">
        <v>42017</v>
      </c>
      <c r="G73" s="13">
        <v>23875.360000000001</v>
      </c>
      <c r="H73" s="16">
        <v>42017</v>
      </c>
      <c r="I73" s="13">
        <v>23875.360000000001</v>
      </c>
      <c r="J73" s="13">
        <f t="shared" si="3"/>
        <v>29844.2</v>
      </c>
      <c r="K73" s="6"/>
    </row>
    <row r="74" spans="1:11" ht="24" x14ac:dyDescent="0.25">
      <c r="A74" s="3">
        <v>67</v>
      </c>
      <c r="B74" s="14" t="s">
        <v>190</v>
      </c>
      <c r="C74" s="15" t="str">
        <f>"UG-50457193-00030/15"</f>
        <v>UG-50457193-00030/15</v>
      </c>
      <c r="D74" s="15" t="str">
        <f t="shared" si="2"/>
        <v>INA INDUSTRIJA NAFTE D.D.</v>
      </c>
      <c r="E74" s="16">
        <v>42026</v>
      </c>
      <c r="F74" s="16">
        <v>42369</v>
      </c>
      <c r="G74" s="13">
        <v>70980.800000000003</v>
      </c>
      <c r="H74" s="16">
        <v>42369</v>
      </c>
      <c r="I74" s="13">
        <v>45965.2</v>
      </c>
      <c r="J74" s="13">
        <f t="shared" si="3"/>
        <v>57456.5</v>
      </c>
      <c r="K74" s="6"/>
    </row>
    <row r="75" spans="1:11" ht="24" x14ac:dyDescent="0.25">
      <c r="A75" s="3">
        <v>68</v>
      </c>
      <c r="B75" s="14" t="s">
        <v>191</v>
      </c>
      <c r="C75" s="15" t="str">
        <f>"1/2015-2"</f>
        <v>1/2015-2</v>
      </c>
      <c r="D75" s="15" t="str">
        <f t="shared" si="2"/>
        <v>INA INDUSTRIJA NAFTE D.D.</v>
      </c>
      <c r="E75" s="16">
        <v>42016</v>
      </c>
      <c r="F75" s="16">
        <v>42016</v>
      </c>
      <c r="G75" s="13">
        <v>0</v>
      </c>
      <c r="H75" s="16">
        <v>42016</v>
      </c>
      <c r="I75" s="13">
        <v>3226</v>
      </c>
      <c r="J75" s="13">
        <f t="shared" si="3"/>
        <v>4032.5</v>
      </c>
      <c r="K75" s="6"/>
    </row>
    <row r="76" spans="1:11" ht="24" x14ac:dyDescent="0.25">
      <c r="A76" s="3">
        <v>69</v>
      </c>
      <c r="B76" s="14" t="s">
        <v>192</v>
      </c>
      <c r="C76" s="15" t="str">
        <f>"UG-50457193-00029/15"</f>
        <v>UG-50457193-00029/15</v>
      </c>
      <c r="D76" s="15" t="str">
        <f t="shared" si="2"/>
        <v>INA INDUSTRIJA NAFTE D.D.</v>
      </c>
      <c r="E76" s="16">
        <v>42016</v>
      </c>
      <c r="F76" s="16">
        <v>42723</v>
      </c>
      <c r="G76" s="13">
        <v>6774.4</v>
      </c>
      <c r="H76" s="16">
        <v>42723</v>
      </c>
      <c r="I76" s="13">
        <v>0</v>
      </c>
      <c r="J76" s="13">
        <f t="shared" si="3"/>
        <v>0</v>
      </c>
      <c r="K76" s="6"/>
    </row>
    <row r="77" spans="1:11" ht="24" x14ac:dyDescent="0.25">
      <c r="A77" s="3">
        <v>70</v>
      </c>
      <c r="B77" s="14" t="s">
        <v>35</v>
      </c>
      <c r="C77" s="15" t="str">
        <f>"UG-50457193-00042/15"</f>
        <v>UG-50457193-00042/15</v>
      </c>
      <c r="D77" s="15" t="str">
        <f t="shared" si="2"/>
        <v>INA INDUSTRIJA NAFTE D.D.</v>
      </c>
      <c r="E77" s="16">
        <v>42016</v>
      </c>
      <c r="F77" s="16">
        <v>42381</v>
      </c>
      <c r="G77" s="13">
        <v>91454.399999999994</v>
      </c>
      <c r="H77" s="16">
        <v>42381</v>
      </c>
      <c r="I77" s="13">
        <v>127287.67999999999</v>
      </c>
      <c r="J77" s="13">
        <f t="shared" si="3"/>
        <v>159109.59999999998</v>
      </c>
      <c r="K77" s="6"/>
    </row>
    <row r="78" spans="1:11" ht="24" x14ac:dyDescent="0.25">
      <c r="A78" s="3">
        <v>71</v>
      </c>
      <c r="B78" s="14" t="s">
        <v>68</v>
      </c>
      <c r="C78" s="15" t="str">
        <f>"UG-50457193-00025/15"</f>
        <v>UG-50457193-00025/15</v>
      </c>
      <c r="D78" s="15" t="str">
        <f t="shared" si="2"/>
        <v>INA INDUSTRIJA NAFTE D.D.</v>
      </c>
      <c r="E78" s="16">
        <v>42013</v>
      </c>
      <c r="F78" s="16"/>
      <c r="G78" s="13">
        <v>104609.5</v>
      </c>
      <c r="H78" s="16"/>
      <c r="I78" s="13">
        <v>76631.41</v>
      </c>
      <c r="J78" s="13">
        <f t="shared" si="3"/>
        <v>95789.262500000012</v>
      </c>
      <c r="K78" s="6"/>
    </row>
    <row r="79" spans="1:11" ht="24" x14ac:dyDescent="0.25">
      <c r="A79" s="3">
        <v>72</v>
      </c>
      <c r="B79" s="14" t="s">
        <v>108</v>
      </c>
      <c r="C79" s="15" t="str">
        <f>"UG-50457193-00054/15"</f>
        <v>UG-50457193-00054/15</v>
      </c>
      <c r="D79" s="15" t="str">
        <f t="shared" si="2"/>
        <v>INA INDUSTRIJA NAFTE D.D.</v>
      </c>
      <c r="E79" s="16">
        <v>42012</v>
      </c>
      <c r="F79" s="16">
        <v>42369</v>
      </c>
      <c r="G79" s="13">
        <v>174779.51999999999</v>
      </c>
      <c r="H79" s="16">
        <v>42369</v>
      </c>
      <c r="I79" s="13">
        <v>181874.69</v>
      </c>
      <c r="J79" s="13">
        <f t="shared" si="3"/>
        <v>227343.36249999999</v>
      </c>
      <c r="K79" s="6"/>
    </row>
    <row r="80" spans="1:11" ht="24" x14ac:dyDescent="0.25">
      <c r="A80" s="3">
        <v>73</v>
      </c>
      <c r="B80" s="14" t="s">
        <v>189</v>
      </c>
      <c r="C80" s="15" t="str">
        <f>"29-002"</f>
        <v>29-002</v>
      </c>
      <c r="D80" s="15" t="str">
        <f t="shared" si="2"/>
        <v>INA INDUSTRIJA NAFTE D.D.</v>
      </c>
      <c r="E80" s="16">
        <v>42012</v>
      </c>
      <c r="F80" s="16">
        <v>42012</v>
      </c>
      <c r="G80" s="13">
        <v>25065.279999999999</v>
      </c>
      <c r="H80" s="16">
        <v>42012</v>
      </c>
      <c r="I80" s="13">
        <v>25065.279999999999</v>
      </c>
      <c r="J80" s="13">
        <f t="shared" si="3"/>
        <v>31331.599999999999</v>
      </c>
      <c r="K80" s="6"/>
    </row>
    <row r="81" spans="1:11" ht="24" x14ac:dyDescent="0.25">
      <c r="A81" s="3">
        <v>74</v>
      </c>
      <c r="B81" s="14" t="s">
        <v>163</v>
      </c>
      <c r="C81" s="15" t="str">
        <f>"1/2015-6"</f>
        <v>1/2015-6</v>
      </c>
      <c r="D81" s="15" t="str">
        <f t="shared" si="2"/>
        <v>INA INDUSTRIJA NAFTE D.D.</v>
      </c>
      <c r="E81" s="16">
        <v>42012</v>
      </c>
      <c r="F81" s="16">
        <v>42012</v>
      </c>
      <c r="G81" s="13">
        <v>20650</v>
      </c>
      <c r="H81" s="16">
        <v>42012</v>
      </c>
      <c r="I81" s="13">
        <v>17034</v>
      </c>
      <c r="J81" s="13">
        <f t="shared" si="3"/>
        <v>21292.5</v>
      </c>
      <c r="K81" s="6"/>
    </row>
    <row r="82" spans="1:11" ht="24" x14ac:dyDescent="0.25">
      <c r="A82" s="3">
        <v>75</v>
      </c>
      <c r="B82" s="14" t="s">
        <v>165</v>
      </c>
      <c r="C82" s="15" t="str">
        <f>"1/2015-5"</f>
        <v>1/2015-5</v>
      </c>
      <c r="D82" s="15" t="str">
        <f t="shared" si="2"/>
        <v>INA INDUSTRIJA NAFTE D.D.</v>
      </c>
      <c r="E82" s="16">
        <v>42011</v>
      </c>
      <c r="F82" s="16">
        <v>42011</v>
      </c>
      <c r="G82" s="13">
        <v>6774.4</v>
      </c>
      <c r="H82" s="16">
        <v>42011</v>
      </c>
      <c r="I82" s="13">
        <v>6774</v>
      </c>
      <c r="J82" s="13">
        <f t="shared" si="3"/>
        <v>8467.5</v>
      </c>
      <c r="K82" s="6"/>
    </row>
    <row r="83" spans="1:11" ht="24" x14ac:dyDescent="0.25">
      <c r="A83" s="3">
        <v>76</v>
      </c>
      <c r="B83" s="14" t="s">
        <v>193</v>
      </c>
      <c r="C83" s="15" t="str">
        <f>"UG-50457193-00047/15-1"</f>
        <v>UG-50457193-00047/15-1</v>
      </c>
      <c r="D83" s="15" t="str">
        <f t="shared" si="2"/>
        <v>INA INDUSTRIJA NAFTE D.D.</v>
      </c>
      <c r="E83" s="16">
        <v>42006</v>
      </c>
      <c r="F83" s="16">
        <v>42723</v>
      </c>
      <c r="G83" s="13">
        <v>176200</v>
      </c>
      <c r="H83" s="16">
        <v>42723</v>
      </c>
      <c r="I83" s="13">
        <v>64959.15</v>
      </c>
      <c r="J83" s="13">
        <f t="shared" si="3"/>
        <v>81198.9375</v>
      </c>
      <c r="K83" s="6"/>
    </row>
    <row r="84" spans="1:11" ht="24" x14ac:dyDescent="0.25">
      <c r="A84" s="3">
        <v>77</v>
      </c>
      <c r="B84" s="14" t="s">
        <v>72</v>
      </c>
      <c r="C84" s="15" t="str">
        <f>"NN-00/15"</f>
        <v>NN-00/15</v>
      </c>
      <c r="D84" s="15" t="str">
        <f t="shared" si="2"/>
        <v>INA INDUSTRIJA NAFTE D.D.</v>
      </c>
      <c r="E84" s="16">
        <v>42005</v>
      </c>
      <c r="F84" s="16">
        <v>42369</v>
      </c>
      <c r="G84" s="13">
        <v>91529</v>
      </c>
      <c r="H84" s="16">
        <v>42369</v>
      </c>
      <c r="I84" s="13">
        <v>91529</v>
      </c>
      <c r="J84" s="13">
        <f t="shared" si="3"/>
        <v>114411.25</v>
      </c>
      <c r="K84" s="6"/>
    </row>
    <row r="85" spans="1:11" ht="24" x14ac:dyDescent="0.25">
      <c r="A85" s="3">
        <v>78</v>
      </c>
      <c r="B85" s="14"/>
      <c r="C85" s="15" t="str">
        <f>"UG-50457193-00027/15"</f>
        <v>UG-50457193-00027/15</v>
      </c>
      <c r="D85" s="15" t="str">
        <f t="shared" si="2"/>
        <v>INA INDUSTRIJA NAFTE D.D.</v>
      </c>
      <c r="E85" s="16">
        <v>42005</v>
      </c>
      <c r="F85" s="16"/>
      <c r="G85" s="13">
        <v>35121.879999999997</v>
      </c>
      <c r="H85" s="16"/>
      <c r="I85" s="13">
        <v>35121.879999999997</v>
      </c>
      <c r="J85" s="13">
        <f t="shared" si="3"/>
        <v>43902.35</v>
      </c>
      <c r="K85" s="6"/>
    </row>
    <row r="86" spans="1:11" ht="24" x14ac:dyDescent="0.25">
      <c r="A86" s="3">
        <v>79</v>
      </c>
      <c r="B86" s="14" t="s">
        <v>194</v>
      </c>
      <c r="C86" s="15" t="str">
        <f>"UG-50457193-00056/15"</f>
        <v>UG-50457193-00056/15</v>
      </c>
      <c r="D86" s="15" t="str">
        <f t="shared" si="2"/>
        <v>INA INDUSTRIJA NAFTE D.D.</v>
      </c>
      <c r="E86" s="16">
        <v>42006</v>
      </c>
      <c r="F86" s="16">
        <v>42185</v>
      </c>
      <c r="G86" s="13">
        <v>18842</v>
      </c>
      <c r="H86" s="16">
        <v>42185</v>
      </c>
      <c r="I86" s="13">
        <v>10680</v>
      </c>
      <c r="J86" s="13">
        <f t="shared" si="3"/>
        <v>13350</v>
      </c>
      <c r="K86" s="6"/>
    </row>
    <row r="87" spans="1:11" ht="24" x14ac:dyDescent="0.25">
      <c r="A87" s="3">
        <v>80</v>
      </c>
      <c r="B87" s="14" t="s">
        <v>182</v>
      </c>
      <c r="C87" s="15" t="str">
        <f>"UG-50457193-00031/15"</f>
        <v>UG-50457193-00031/15</v>
      </c>
      <c r="D87" s="15" t="str">
        <f t="shared" si="2"/>
        <v>INA INDUSTRIJA NAFTE D.D.</v>
      </c>
      <c r="E87" s="16">
        <v>42030</v>
      </c>
      <c r="F87" s="16">
        <v>42723</v>
      </c>
      <c r="G87" s="13">
        <v>48382</v>
      </c>
      <c r="H87" s="16">
        <v>42723</v>
      </c>
      <c r="I87" s="13">
        <v>16047</v>
      </c>
      <c r="J87" s="13">
        <f t="shared" si="3"/>
        <v>20058.75</v>
      </c>
      <c r="K87" s="6"/>
    </row>
    <row r="88" spans="1:11" ht="24" x14ac:dyDescent="0.25">
      <c r="A88" s="3">
        <v>81</v>
      </c>
      <c r="B88" s="14" t="s">
        <v>182</v>
      </c>
      <c r="C88" s="15" t="str">
        <f>"UG-50457193-00065/15"</f>
        <v>UG-50457193-00065/15</v>
      </c>
      <c r="D88" s="15" t="str">
        <f t="shared" si="2"/>
        <v>INA INDUSTRIJA NAFTE D.D.</v>
      </c>
      <c r="E88" s="16">
        <v>42012</v>
      </c>
      <c r="F88" s="16">
        <v>42369</v>
      </c>
      <c r="G88" s="13">
        <v>42690</v>
      </c>
      <c r="H88" s="16">
        <v>42369</v>
      </c>
      <c r="I88" s="13">
        <v>18777</v>
      </c>
      <c r="J88" s="13">
        <f t="shared" si="3"/>
        <v>23471.25</v>
      </c>
      <c r="K88" s="6"/>
    </row>
    <row r="89" spans="1:11" ht="24" x14ac:dyDescent="0.25">
      <c r="A89" s="3">
        <v>82</v>
      </c>
      <c r="B89" s="14" t="s">
        <v>182</v>
      </c>
      <c r="C89" s="15" t="str">
        <f>"UG-50457193-00055/15"</f>
        <v>UG-50457193-00055/15</v>
      </c>
      <c r="D89" s="15" t="str">
        <f t="shared" si="2"/>
        <v>INA INDUSTRIJA NAFTE D.D.</v>
      </c>
      <c r="E89" s="16">
        <v>42034</v>
      </c>
      <c r="F89" s="16">
        <v>42720</v>
      </c>
      <c r="G89" s="13">
        <v>31306</v>
      </c>
      <c r="H89" s="16">
        <v>42720</v>
      </c>
      <c r="I89" s="13">
        <v>49307.58</v>
      </c>
      <c r="J89" s="13">
        <f t="shared" si="3"/>
        <v>61634.475000000006</v>
      </c>
      <c r="K89" s="6"/>
    </row>
    <row r="90" spans="1:11" ht="24" x14ac:dyDescent="0.25">
      <c r="A90" s="3">
        <v>83</v>
      </c>
      <c r="B90" s="14" t="s">
        <v>195</v>
      </c>
      <c r="C90" s="15" t="str">
        <f>"UG-50457193-00049/15"</f>
        <v>UG-50457193-00049/15</v>
      </c>
      <c r="D90" s="15" t="str">
        <f t="shared" si="2"/>
        <v>INA INDUSTRIJA NAFTE D.D.</v>
      </c>
      <c r="E90" s="16">
        <v>42040</v>
      </c>
      <c r="F90" s="16">
        <v>42369</v>
      </c>
      <c r="G90" s="13">
        <v>105728</v>
      </c>
      <c r="H90" s="16">
        <v>42369</v>
      </c>
      <c r="I90" s="13">
        <v>124868.39</v>
      </c>
      <c r="J90" s="13">
        <f t="shared" si="3"/>
        <v>156085.48749999999</v>
      </c>
      <c r="K90" s="6"/>
    </row>
    <row r="91" spans="1:11" ht="24" x14ac:dyDescent="0.25">
      <c r="A91" s="3">
        <v>84</v>
      </c>
      <c r="B91" s="14" t="s">
        <v>196</v>
      </c>
      <c r="C91" s="15" t="str">
        <f>"UG-50457193-00024/15"</f>
        <v>UG-50457193-00024/15</v>
      </c>
      <c r="D91" s="15" t="str">
        <f t="shared" si="2"/>
        <v>INA INDUSTRIJA NAFTE D.D.</v>
      </c>
      <c r="E91" s="16">
        <v>42027</v>
      </c>
      <c r="F91" s="16">
        <v>42723</v>
      </c>
      <c r="G91" s="13">
        <v>269696</v>
      </c>
      <c r="H91" s="16">
        <v>42723</v>
      </c>
      <c r="I91" s="13">
        <v>103546.4</v>
      </c>
      <c r="J91" s="13">
        <f t="shared" si="3"/>
        <v>129433</v>
      </c>
      <c r="K91" s="6"/>
    </row>
    <row r="92" spans="1:11" ht="24" x14ac:dyDescent="0.25">
      <c r="A92" s="3">
        <v>85</v>
      </c>
      <c r="B92" s="14" t="s">
        <v>197</v>
      </c>
      <c r="C92" s="15" t="str">
        <f>"UG-50457193-00033/15"</f>
        <v>UG-50457193-00033/15</v>
      </c>
      <c r="D92" s="15" t="str">
        <f t="shared" si="2"/>
        <v>INA INDUSTRIJA NAFTE D.D.</v>
      </c>
      <c r="E92" s="16">
        <v>42006</v>
      </c>
      <c r="F92" s="16">
        <v>42369</v>
      </c>
      <c r="G92" s="13">
        <v>422880</v>
      </c>
      <c r="H92" s="16">
        <v>42369</v>
      </c>
      <c r="I92" s="13">
        <v>336044.78</v>
      </c>
      <c r="J92" s="13">
        <f t="shared" si="3"/>
        <v>420055.97500000003</v>
      </c>
      <c r="K92" s="6"/>
    </row>
    <row r="93" spans="1:11" ht="24" x14ac:dyDescent="0.25">
      <c r="A93" s="3">
        <v>86</v>
      </c>
      <c r="B93" s="14" t="s">
        <v>198</v>
      </c>
      <c r="C93" s="15" t="str">
        <f>"UG-50457193-00034/15"</f>
        <v>UG-50457193-00034/15</v>
      </c>
      <c r="D93" s="15" t="str">
        <f t="shared" si="2"/>
        <v>INA INDUSTRIJA NAFTE D.D.</v>
      </c>
      <c r="E93" s="16">
        <v>42006</v>
      </c>
      <c r="F93" s="16">
        <v>42369</v>
      </c>
      <c r="G93" s="13">
        <v>118552</v>
      </c>
      <c r="H93" s="16">
        <v>42369</v>
      </c>
      <c r="I93" s="13">
        <v>67402.37</v>
      </c>
      <c r="J93" s="13">
        <f t="shared" si="3"/>
        <v>84252.962499999994</v>
      </c>
      <c r="K93" s="6"/>
    </row>
    <row r="94" spans="1:11" ht="24" x14ac:dyDescent="0.25">
      <c r="A94" s="3">
        <v>87</v>
      </c>
      <c r="B94" s="14" t="s">
        <v>199</v>
      </c>
      <c r="C94" s="15" t="str">
        <f>"UG-50457193-00061/15"</f>
        <v>UG-50457193-00061/15</v>
      </c>
      <c r="D94" s="15" t="str">
        <f t="shared" si="2"/>
        <v>INA INDUSTRIJA NAFTE D.D.</v>
      </c>
      <c r="E94" s="16">
        <v>42005</v>
      </c>
      <c r="F94" s="16">
        <v>42369</v>
      </c>
      <c r="G94" s="13">
        <v>27280</v>
      </c>
      <c r="H94" s="16">
        <v>42369</v>
      </c>
      <c r="I94" s="13">
        <v>15556</v>
      </c>
      <c r="J94" s="13">
        <f t="shared" si="3"/>
        <v>19445</v>
      </c>
      <c r="K94" s="6"/>
    </row>
    <row r="95" spans="1:11" ht="24" x14ac:dyDescent="0.25">
      <c r="A95" s="3">
        <v>88</v>
      </c>
      <c r="B95" s="14" t="s">
        <v>200</v>
      </c>
      <c r="C95" s="15" t="str">
        <f>"UG-50457193-00057/15"</f>
        <v>UG-50457193-00057/15</v>
      </c>
      <c r="D95" s="15" t="str">
        <f t="shared" si="2"/>
        <v>INA INDUSTRIJA NAFTE D.D.</v>
      </c>
      <c r="E95" s="16">
        <v>42006</v>
      </c>
      <c r="F95" s="16">
        <v>42369</v>
      </c>
      <c r="G95" s="13">
        <v>12334</v>
      </c>
      <c r="H95" s="16">
        <v>42369</v>
      </c>
      <c r="I95" s="13">
        <v>12334</v>
      </c>
      <c r="J95" s="13">
        <f t="shared" si="3"/>
        <v>15417.5</v>
      </c>
      <c r="K95" s="6"/>
    </row>
    <row r="96" spans="1:11" ht="24" x14ac:dyDescent="0.25">
      <c r="A96" s="3">
        <v>89</v>
      </c>
      <c r="B96" s="14" t="s">
        <v>201</v>
      </c>
      <c r="C96" s="15" t="str">
        <f>"UG-50457193-00012/15"</f>
        <v>UG-50457193-00012/15</v>
      </c>
      <c r="D96" s="15" t="str">
        <f t="shared" si="2"/>
        <v>INA INDUSTRIJA NAFTE D.D.</v>
      </c>
      <c r="E96" s="16">
        <v>42023</v>
      </c>
      <c r="F96" s="16">
        <v>42369</v>
      </c>
      <c r="G96" s="13">
        <v>112924</v>
      </c>
      <c r="H96" s="16">
        <v>42369</v>
      </c>
      <c r="I96" s="13">
        <v>88862.93</v>
      </c>
      <c r="J96" s="13">
        <f t="shared" si="3"/>
        <v>111078.66249999999</v>
      </c>
      <c r="K96" s="6"/>
    </row>
    <row r="97" spans="1:11" ht="24" x14ac:dyDescent="0.25">
      <c r="A97" s="3">
        <v>90</v>
      </c>
      <c r="B97" s="14" t="s">
        <v>202</v>
      </c>
      <c r="C97" s="15" t="str">
        <f>"UG-50457193-00035/15-1"</f>
        <v>UG-50457193-00035/15-1</v>
      </c>
      <c r="D97" s="15" t="str">
        <f t="shared" si="2"/>
        <v>INA INDUSTRIJA NAFTE D.D.</v>
      </c>
      <c r="E97" s="16">
        <v>42005</v>
      </c>
      <c r="F97" s="16">
        <v>42369</v>
      </c>
      <c r="G97" s="13">
        <v>5286</v>
      </c>
      <c r="H97" s="16">
        <v>42369</v>
      </c>
      <c r="I97" s="13">
        <v>0</v>
      </c>
      <c r="J97" s="13">
        <f t="shared" si="3"/>
        <v>0</v>
      </c>
      <c r="K97" s="6"/>
    </row>
    <row r="98" spans="1:11" ht="36" x14ac:dyDescent="0.25">
      <c r="A98" s="3">
        <v>91</v>
      </c>
      <c r="B98" s="14" t="s">
        <v>203</v>
      </c>
      <c r="C98" s="15" t="str">
        <f>"UG-50457193-00016/15"</f>
        <v>UG-50457193-00016/15</v>
      </c>
      <c r="D98" s="15" t="str">
        <f t="shared" si="2"/>
        <v>INA INDUSTRIJA NAFTE D.D.</v>
      </c>
      <c r="E98" s="16">
        <v>42012</v>
      </c>
      <c r="F98" s="16">
        <v>42369</v>
      </c>
      <c r="G98" s="13">
        <v>152424</v>
      </c>
      <c r="H98" s="16">
        <v>42369</v>
      </c>
      <c r="I98" s="13">
        <v>104843.39</v>
      </c>
      <c r="J98" s="13">
        <f t="shared" si="3"/>
        <v>131054.2375</v>
      </c>
      <c r="K98" s="6"/>
    </row>
    <row r="99" spans="1:11" ht="24" x14ac:dyDescent="0.25">
      <c r="A99" s="3">
        <v>92</v>
      </c>
      <c r="B99" s="14" t="s">
        <v>204</v>
      </c>
      <c r="C99" s="15" t="str">
        <f>"UG-50457193-00040/15"</f>
        <v>UG-50457193-00040/15</v>
      </c>
      <c r="D99" s="15" t="str">
        <f t="shared" si="2"/>
        <v>INA INDUSTRIJA NAFTE D.D.</v>
      </c>
      <c r="E99" s="16">
        <v>42019</v>
      </c>
      <c r="F99" s="16">
        <v>42369</v>
      </c>
      <c r="G99" s="13">
        <v>80660</v>
      </c>
      <c r="H99" s="16">
        <v>42369</v>
      </c>
      <c r="I99" s="13">
        <v>51466.83</v>
      </c>
      <c r="J99" s="13">
        <f t="shared" si="3"/>
        <v>64333.537500000006</v>
      </c>
      <c r="K99" s="6"/>
    </row>
    <row r="100" spans="1:11" ht="24" x14ac:dyDescent="0.25">
      <c r="A100" s="3">
        <v>93</v>
      </c>
      <c r="B100" s="14" t="s">
        <v>205</v>
      </c>
      <c r="C100" s="15" t="str">
        <f>"UG-50457193-00064/15"</f>
        <v>UG-50457193-00064/15</v>
      </c>
      <c r="D100" s="15" t="str">
        <f t="shared" si="2"/>
        <v>INA INDUSTRIJA NAFTE D.D.</v>
      </c>
      <c r="E100" s="16">
        <v>42051</v>
      </c>
      <c r="F100" s="16">
        <v>42719</v>
      </c>
      <c r="G100" s="13">
        <v>365600</v>
      </c>
      <c r="H100" s="16">
        <v>42719</v>
      </c>
      <c r="I100" s="13">
        <v>141620.94</v>
      </c>
      <c r="J100" s="13">
        <f t="shared" si="3"/>
        <v>177026.17499999999</v>
      </c>
      <c r="K100" s="6"/>
    </row>
    <row r="101" spans="1:11" ht="24" x14ac:dyDescent="0.25">
      <c r="A101" s="3">
        <v>94</v>
      </c>
      <c r="B101" s="14" t="s">
        <v>206</v>
      </c>
      <c r="C101" s="15" t="str">
        <f>"UG-50457193-00037/15"</f>
        <v>UG-50457193-00037/15</v>
      </c>
      <c r="D101" s="15" t="str">
        <f t="shared" si="2"/>
        <v>INA INDUSTRIJA NAFTE D.D.</v>
      </c>
      <c r="E101" s="16">
        <v>42005</v>
      </c>
      <c r="F101" s="16">
        <v>42369</v>
      </c>
      <c r="G101" s="13">
        <v>647735.86</v>
      </c>
      <c r="H101" s="16">
        <v>42369</v>
      </c>
      <c r="I101" s="40">
        <v>0</v>
      </c>
      <c r="J101" s="40">
        <f t="shared" si="3"/>
        <v>0</v>
      </c>
      <c r="K101" s="6"/>
    </row>
    <row r="102" spans="1:11" ht="24" x14ac:dyDescent="0.25">
      <c r="A102" s="3">
        <v>95</v>
      </c>
      <c r="B102" s="14" t="s">
        <v>207</v>
      </c>
      <c r="C102" s="15" t="str">
        <f>"UG-50457193-00044/15"</f>
        <v>UG-50457193-00044/15</v>
      </c>
      <c r="D102" s="15" t="str">
        <f t="shared" si="2"/>
        <v>INA INDUSTRIJA NAFTE D.D.</v>
      </c>
      <c r="E102" s="16">
        <v>42033</v>
      </c>
      <c r="F102" s="16">
        <v>42369</v>
      </c>
      <c r="G102" s="13">
        <v>64256</v>
      </c>
      <c r="H102" s="16">
        <v>42369</v>
      </c>
      <c r="I102" s="13">
        <v>78079.839999999997</v>
      </c>
      <c r="J102" s="13">
        <f t="shared" si="3"/>
        <v>97599.799999999988</v>
      </c>
      <c r="K102" s="6"/>
    </row>
    <row r="103" spans="1:11" ht="24" x14ac:dyDescent="0.25">
      <c r="A103" s="3">
        <v>96</v>
      </c>
      <c r="B103" s="14" t="s">
        <v>27</v>
      </c>
      <c r="C103" s="15" t="str">
        <f>"511-01-165-8602/2015"</f>
        <v>511-01-165-8602/2015</v>
      </c>
      <c r="D103" s="15" t="str">
        <f t="shared" si="2"/>
        <v>INA INDUSTRIJA NAFTE D.D.</v>
      </c>
      <c r="E103" s="16">
        <v>42027</v>
      </c>
      <c r="F103" s="16">
        <v>42369</v>
      </c>
      <c r="G103" s="13">
        <v>5359320.4800000004</v>
      </c>
      <c r="H103" s="16">
        <v>42369</v>
      </c>
      <c r="I103" s="13">
        <v>6839075.3600000003</v>
      </c>
      <c r="J103" s="13">
        <f t="shared" si="3"/>
        <v>8548844.2000000011</v>
      </c>
      <c r="K103" s="6"/>
    </row>
    <row r="104" spans="1:11" ht="24" x14ac:dyDescent="0.25">
      <c r="A104" s="3">
        <v>97</v>
      </c>
      <c r="B104" s="14" t="s">
        <v>53</v>
      </c>
      <c r="C104" s="15" t="str">
        <f>"UG-50457193-00060/15"</f>
        <v>UG-50457193-00060/15</v>
      </c>
      <c r="D104" s="15" t="str">
        <f t="shared" si="2"/>
        <v>INA INDUSTRIJA NAFTE D.D.</v>
      </c>
      <c r="E104" s="16">
        <v>42024</v>
      </c>
      <c r="F104" s="16">
        <v>42369</v>
      </c>
      <c r="G104" s="13">
        <v>141120</v>
      </c>
      <c r="H104" s="16">
        <v>42369</v>
      </c>
      <c r="I104" s="13">
        <v>38437.96</v>
      </c>
      <c r="J104" s="13">
        <f t="shared" si="3"/>
        <v>48047.45</v>
      </c>
      <c r="K104" s="6"/>
    </row>
    <row r="105" spans="1:11" ht="24" x14ac:dyDescent="0.25">
      <c r="A105" s="3">
        <v>98</v>
      </c>
      <c r="B105" s="14" t="s">
        <v>208</v>
      </c>
      <c r="C105" s="15" t="str">
        <f>"UG-50457193-00052/15"</f>
        <v>UG-50457193-00052/15</v>
      </c>
      <c r="D105" s="15" t="str">
        <f t="shared" si="2"/>
        <v>INA INDUSTRIJA NAFTE D.D.</v>
      </c>
      <c r="E105" s="16">
        <v>42024</v>
      </c>
      <c r="F105" s="16">
        <v>42369</v>
      </c>
      <c r="G105" s="13">
        <v>94080</v>
      </c>
      <c r="H105" s="16">
        <v>42369</v>
      </c>
      <c r="I105" s="13">
        <v>58306.69</v>
      </c>
      <c r="J105" s="13">
        <f t="shared" si="3"/>
        <v>72883.362500000003</v>
      </c>
      <c r="K105" s="6"/>
    </row>
    <row r="106" spans="1:11" ht="24" x14ac:dyDescent="0.25">
      <c r="A106" s="3">
        <v>99</v>
      </c>
      <c r="B106" s="14" t="s">
        <v>209</v>
      </c>
      <c r="C106" s="15" t="str">
        <f>"4/2014-1"</f>
        <v>4/2014-1</v>
      </c>
      <c r="D106" s="15" t="str">
        <f t="shared" si="2"/>
        <v>INA INDUSTRIJA NAFTE D.D.</v>
      </c>
      <c r="E106" s="16">
        <v>42429</v>
      </c>
      <c r="F106" s="16">
        <v>42723</v>
      </c>
      <c r="G106" s="13">
        <v>3106</v>
      </c>
      <c r="H106" s="16">
        <v>42723</v>
      </c>
      <c r="I106" s="13">
        <v>3106</v>
      </c>
      <c r="J106" s="13">
        <f t="shared" si="3"/>
        <v>3882.5</v>
      </c>
      <c r="K106" s="6"/>
    </row>
    <row r="107" spans="1:11" ht="7.5" customHeight="1" x14ac:dyDescent="0.25"/>
    <row r="108" spans="1:11" ht="42" customHeight="1" x14ac:dyDescent="0.25">
      <c r="A108" s="1" t="s">
        <v>0</v>
      </c>
      <c r="B108" s="2" t="s">
        <v>1</v>
      </c>
      <c r="C108" s="2" t="s">
        <v>6</v>
      </c>
      <c r="D108" s="2" t="s">
        <v>2</v>
      </c>
      <c r="E108" s="2" t="s">
        <v>3</v>
      </c>
      <c r="F108" s="2" t="s">
        <v>7</v>
      </c>
      <c r="G108" s="2" t="s">
        <v>8</v>
      </c>
      <c r="H108" s="2" t="s">
        <v>4</v>
      </c>
      <c r="I108" s="2" t="s">
        <v>5</v>
      </c>
    </row>
    <row r="109" spans="1:11" ht="25.5" x14ac:dyDescent="0.25">
      <c r="A109" s="3">
        <v>1</v>
      </c>
      <c r="B109" s="32" t="s">
        <v>672</v>
      </c>
      <c r="C109" s="3" t="s">
        <v>210</v>
      </c>
      <c r="D109" s="3" t="s">
        <v>700</v>
      </c>
      <c r="E109" s="3" t="s">
        <v>24</v>
      </c>
      <c r="F109" s="21">
        <v>41992</v>
      </c>
      <c r="G109" s="3" t="s">
        <v>659</v>
      </c>
      <c r="H109" s="13">
        <v>8600000</v>
      </c>
      <c r="I109" s="13">
        <v>7510600</v>
      </c>
    </row>
    <row r="110" spans="1:11" x14ac:dyDescent="0.25">
      <c r="A110" s="42" t="s">
        <v>706</v>
      </c>
      <c r="B110" s="43"/>
      <c r="C110" s="43"/>
      <c r="D110" s="43"/>
      <c r="E110" s="43"/>
      <c r="F110" s="43"/>
      <c r="G110" s="43"/>
      <c r="H110" s="44"/>
      <c r="I110" s="13">
        <v>1169380.01</v>
      </c>
    </row>
    <row r="111" spans="1:11" ht="7.5" customHeight="1" x14ac:dyDescent="0.25"/>
    <row r="112" spans="1:11" x14ac:dyDescent="0.25">
      <c r="A112" s="46" t="s">
        <v>20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ht="63.75" customHeight="1" x14ac:dyDescent="0.25">
      <c r="A113" s="4" t="s">
        <v>0</v>
      </c>
      <c r="B113" s="5" t="s">
        <v>10</v>
      </c>
      <c r="C113" s="5" t="s">
        <v>9</v>
      </c>
      <c r="D113" s="5" t="s">
        <v>13</v>
      </c>
      <c r="E113" s="5" t="s">
        <v>12</v>
      </c>
      <c r="F113" s="5" t="s">
        <v>11</v>
      </c>
      <c r="G113" s="5" t="s">
        <v>18</v>
      </c>
      <c r="H113" s="5" t="s">
        <v>14</v>
      </c>
      <c r="I113" s="5" t="s">
        <v>15</v>
      </c>
      <c r="J113" s="5" t="s">
        <v>16</v>
      </c>
      <c r="K113" s="5" t="s">
        <v>17</v>
      </c>
    </row>
    <row r="114" spans="1:11" ht="24" x14ac:dyDescent="0.25">
      <c r="A114" s="3">
        <v>1</v>
      </c>
      <c r="B114" s="14" t="s">
        <v>46</v>
      </c>
      <c r="C114" s="15" t="str">
        <f>"333-07/15-01/04"</f>
        <v>333-07/15-01/04</v>
      </c>
      <c r="D114" s="15" t="str">
        <f t="shared" ref="D114:D126" si="4">CONCATENATE("CRODUX DERIVATI DVA D.O.O.")</f>
        <v>CRODUX DERIVATI DVA D.O.O.</v>
      </c>
      <c r="E114" s="16">
        <v>42032</v>
      </c>
      <c r="F114" s="16">
        <v>42369</v>
      </c>
      <c r="G114" s="13">
        <v>202500</v>
      </c>
      <c r="H114" s="16">
        <v>42369</v>
      </c>
      <c r="I114" s="13">
        <v>93365.07</v>
      </c>
      <c r="J114" s="13">
        <f>I114*1.25</f>
        <v>116706.33750000001</v>
      </c>
      <c r="K114" s="6"/>
    </row>
    <row r="115" spans="1:11" ht="24" x14ac:dyDescent="0.25">
      <c r="A115" s="3">
        <v>2</v>
      </c>
      <c r="B115" s="14" t="s">
        <v>211</v>
      </c>
      <c r="C115" s="15" t="str">
        <f>"RA-14-03/34"</f>
        <v>RA-14-03/34</v>
      </c>
      <c r="D115" s="15" t="str">
        <f t="shared" si="4"/>
        <v>CRODUX DERIVATI DVA D.O.O.</v>
      </c>
      <c r="E115" s="16">
        <v>42002</v>
      </c>
      <c r="F115" s="16"/>
      <c r="G115" s="13">
        <v>202970.42</v>
      </c>
      <c r="H115" s="16"/>
      <c r="I115" s="13">
        <v>202970.42</v>
      </c>
      <c r="J115" s="13">
        <f t="shared" ref="J115:J126" si="5">I115*1.25</f>
        <v>253713.02500000002</v>
      </c>
      <c r="K115" s="6"/>
    </row>
    <row r="116" spans="1:11" ht="24" x14ac:dyDescent="0.25">
      <c r="A116" s="3">
        <v>3</v>
      </c>
      <c r="B116" s="14" t="s">
        <v>212</v>
      </c>
      <c r="C116" s="15" t="str">
        <f>"561-01-15-3403"</f>
        <v>561-01-15-3403</v>
      </c>
      <c r="D116" s="15" t="str">
        <f t="shared" si="4"/>
        <v>CRODUX DERIVATI DVA D.O.O.</v>
      </c>
      <c r="E116" s="16">
        <v>42360</v>
      </c>
      <c r="F116" s="16"/>
      <c r="G116" s="13">
        <v>545000</v>
      </c>
      <c r="H116" s="16"/>
      <c r="I116" s="13">
        <v>8631</v>
      </c>
      <c r="J116" s="13">
        <f t="shared" si="5"/>
        <v>10788.75</v>
      </c>
      <c r="K116" s="6"/>
    </row>
    <row r="117" spans="1:11" ht="24" x14ac:dyDescent="0.25">
      <c r="A117" s="3">
        <v>4</v>
      </c>
      <c r="B117" s="14" t="s">
        <v>213</v>
      </c>
      <c r="C117" s="15" t="str">
        <f>"20-08-15."</f>
        <v>20-08-15.</v>
      </c>
      <c r="D117" s="15" t="str">
        <f t="shared" si="4"/>
        <v>CRODUX DERIVATI DVA D.O.O.</v>
      </c>
      <c r="E117" s="16">
        <v>42238</v>
      </c>
      <c r="F117" s="16">
        <v>42369</v>
      </c>
      <c r="G117" s="13">
        <v>391500</v>
      </c>
      <c r="H117" s="16">
        <v>42369</v>
      </c>
      <c r="I117" s="13">
        <v>155662.85</v>
      </c>
      <c r="J117" s="13">
        <f t="shared" si="5"/>
        <v>194578.5625</v>
      </c>
      <c r="K117" s="6"/>
    </row>
    <row r="118" spans="1:11" ht="24" x14ac:dyDescent="0.25">
      <c r="A118" s="3">
        <v>5</v>
      </c>
      <c r="B118" s="14" t="s">
        <v>173</v>
      </c>
      <c r="C118" s="15" t="str">
        <f>"77/27/2015"</f>
        <v>77/27/2015</v>
      </c>
      <c r="D118" s="15" t="str">
        <f t="shared" si="4"/>
        <v>CRODUX DERIVATI DVA D.O.O.</v>
      </c>
      <c r="E118" s="16">
        <v>42167</v>
      </c>
      <c r="F118" s="16">
        <v>42369</v>
      </c>
      <c r="G118" s="13">
        <v>648856</v>
      </c>
      <c r="H118" s="16">
        <v>42369</v>
      </c>
      <c r="I118" s="40">
        <v>0</v>
      </c>
      <c r="J118" s="40">
        <f t="shared" si="5"/>
        <v>0</v>
      </c>
      <c r="K118" s="6"/>
    </row>
    <row r="119" spans="1:11" ht="24" x14ac:dyDescent="0.25">
      <c r="A119" s="3">
        <v>6</v>
      </c>
      <c r="B119" s="14" t="s">
        <v>214</v>
      </c>
      <c r="C119" s="15" t="str">
        <f>"4/2014-09"</f>
        <v>4/2014-09</v>
      </c>
      <c r="D119" s="15" t="str">
        <f t="shared" si="4"/>
        <v>CRODUX DERIVATI DVA D.O.O.</v>
      </c>
      <c r="E119" s="16">
        <v>42075</v>
      </c>
      <c r="F119" s="16">
        <v>42369</v>
      </c>
      <c r="G119" s="13">
        <v>329824</v>
      </c>
      <c r="H119" s="16">
        <v>42369</v>
      </c>
      <c r="I119" s="13">
        <v>186685.02</v>
      </c>
      <c r="J119" s="13">
        <f t="shared" si="5"/>
        <v>233356.27499999999</v>
      </c>
      <c r="K119" s="6"/>
    </row>
    <row r="120" spans="1:11" ht="24" x14ac:dyDescent="0.25">
      <c r="A120" s="3">
        <v>7</v>
      </c>
      <c r="B120" s="14" t="s">
        <v>55</v>
      </c>
      <c r="C120" s="15" t="str">
        <f>"1-13-15-3-1"</f>
        <v>1-13-15-3-1</v>
      </c>
      <c r="D120" s="15" t="str">
        <f t="shared" si="4"/>
        <v>CRODUX DERIVATI DVA D.O.O.</v>
      </c>
      <c r="E120" s="16">
        <v>42041</v>
      </c>
      <c r="F120" s="16">
        <v>42723</v>
      </c>
      <c r="G120" s="13">
        <v>55627.199999999997</v>
      </c>
      <c r="H120" s="16">
        <v>42723</v>
      </c>
      <c r="I120" s="13">
        <v>12664.4</v>
      </c>
      <c r="J120" s="13">
        <f t="shared" si="5"/>
        <v>15830.5</v>
      </c>
      <c r="K120" s="6"/>
    </row>
    <row r="121" spans="1:11" ht="24" x14ac:dyDescent="0.25">
      <c r="A121" s="3">
        <v>8</v>
      </c>
      <c r="B121" s="14" t="s">
        <v>211</v>
      </c>
      <c r="C121" s="15" t="str">
        <f>"RA-14-03/34"</f>
        <v>RA-14-03/34</v>
      </c>
      <c r="D121" s="15" t="str">
        <f t="shared" si="4"/>
        <v>CRODUX DERIVATI DVA D.O.O.</v>
      </c>
      <c r="E121" s="16">
        <v>42002</v>
      </c>
      <c r="F121" s="16">
        <v>42369</v>
      </c>
      <c r="G121" s="13">
        <v>316416</v>
      </c>
      <c r="H121" s="16">
        <v>42369</v>
      </c>
      <c r="I121" s="13">
        <v>202970.42</v>
      </c>
      <c r="J121" s="13">
        <f t="shared" si="5"/>
        <v>253713.02500000002</v>
      </c>
      <c r="K121" s="6"/>
    </row>
    <row r="122" spans="1:11" ht="24" x14ac:dyDescent="0.25">
      <c r="A122" s="3">
        <v>9</v>
      </c>
      <c r="B122" s="14" t="s">
        <v>73</v>
      </c>
      <c r="C122" s="15" t="str">
        <f>"4/2014-03"</f>
        <v>4/2014-03</v>
      </c>
      <c r="D122" s="15" t="str">
        <f t="shared" si="4"/>
        <v>CRODUX DERIVATI DVA D.O.O.</v>
      </c>
      <c r="E122" s="16">
        <v>42039</v>
      </c>
      <c r="F122" s="16">
        <v>42369</v>
      </c>
      <c r="G122" s="13">
        <v>154520</v>
      </c>
      <c r="H122" s="16">
        <v>42369</v>
      </c>
      <c r="I122" s="13">
        <v>180335.98</v>
      </c>
      <c r="J122" s="13">
        <f t="shared" si="5"/>
        <v>225419.97500000001</v>
      </c>
      <c r="K122" s="6"/>
    </row>
    <row r="123" spans="1:11" ht="24" x14ac:dyDescent="0.25">
      <c r="A123" s="3">
        <v>10</v>
      </c>
      <c r="B123" s="14" t="s">
        <v>189</v>
      </c>
      <c r="C123" s="15" t="str">
        <f>"406-01/14-03/04"</f>
        <v>406-01/14-03/04</v>
      </c>
      <c r="D123" s="15" t="str">
        <f t="shared" si="4"/>
        <v>CRODUX DERIVATI DVA D.O.O.</v>
      </c>
      <c r="E123" s="16">
        <v>42045</v>
      </c>
      <c r="F123" s="16">
        <v>42369</v>
      </c>
      <c r="G123" s="13">
        <v>55001.599999999999</v>
      </c>
      <c r="H123" s="16">
        <v>42369</v>
      </c>
      <c r="I123" s="13">
        <v>32972.33</v>
      </c>
      <c r="J123" s="13">
        <f t="shared" si="5"/>
        <v>41215.412500000006</v>
      </c>
      <c r="K123" s="6"/>
    </row>
    <row r="124" spans="1:11" ht="24" x14ac:dyDescent="0.25">
      <c r="A124" s="3">
        <v>11</v>
      </c>
      <c r="B124" s="14" t="s">
        <v>215</v>
      </c>
      <c r="C124" s="15" t="str">
        <f>"4"</f>
        <v>4</v>
      </c>
      <c r="D124" s="15" t="str">
        <f t="shared" si="4"/>
        <v>CRODUX DERIVATI DVA D.O.O.</v>
      </c>
      <c r="E124" s="16">
        <v>42041</v>
      </c>
      <c r="F124" s="16">
        <v>42369</v>
      </c>
      <c r="G124" s="13">
        <v>18542.400000000001</v>
      </c>
      <c r="H124" s="16">
        <v>42369</v>
      </c>
      <c r="I124" s="13">
        <v>22495.49</v>
      </c>
      <c r="J124" s="13">
        <f t="shared" si="5"/>
        <v>28119.362500000003</v>
      </c>
      <c r="K124" s="6"/>
    </row>
    <row r="125" spans="1:11" ht="24" x14ac:dyDescent="0.25">
      <c r="A125" s="3">
        <v>12</v>
      </c>
      <c r="B125" s="14" t="s">
        <v>198</v>
      </c>
      <c r="C125" s="15" t="str">
        <f>"28"</f>
        <v>28</v>
      </c>
      <c r="D125" s="15" t="str">
        <f t="shared" si="4"/>
        <v>CRODUX DERIVATI DVA D.O.O.</v>
      </c>
      <c r="E125" s="16">
        <v>42027</v>
      </c>
      <c r="F125" s="16">
        <v>42369</v>
      </c>
      <c r="G125" s="13">
        <v>34723.199999999997</v>
      </c>
      <c r="H125" s="16">
        <v>42369</v>
      </c>
      <c r="I125" s="13">
        <v>33785.29</v>
      </c>
      <c r="J125" s="13">
        <f t="shared" si="5"/>
        <v>42231.612500000003</v>
      </c>
      <c r="K125" s="6"/>
    </row>
    <row r="126" spans="1:11" ht="24" x14ac:dyDescent="0.25">
      <c r="A126" s="3">
        <v>13</v>
      </c>
      <c r="B126" s="14" t="s">
        <v>70</v>
      </c>
      <c r="C126" s="15" t="str">
        <f>"1/2015-4"</f>
        <v>1/2015-4</v>
      </c>
      <c r="D126" s="15" t="str">
        <f t="shared" si="4"/>
        <v>CRODUX DERIVATI DVA D.O.O.</v>
      </c>
      <c r="E126" s="16">
        <v>42027</v>
      </c>
      <c r="F126" s="16">
        <v>42369</v>
      </c>
      <c r="G126" s="13">
        <v>43404</v>
      </c>
      <c r="H126" s="16">
        <v>42369</v>
      </c>
      <c r="I126" s="13">
        <v>36841.74</v>
      </c>
      <c r="J126" s="13">
        <f t="shared" si="5"/>
        <v>46052.174999999996</v>
      </c>
      <c r="K126" s="6"/>
    </row>
    <row r="127" spans="1:11" ht="7.5" customHeight="1" x14ac:dyDescent="0.25"/>
    <row r="128" spans="1:11" ht="42" customHeight="1" x14ac:dyDescent="0.25">
      <c r="A128" s="1" t="s">
        <v>0</v>
      </c>
      <c r="B128" s="2" t="s">
        <v>1</v>
      </c>
      <c r="C128" s="2" t="s">
        <v>6</v>
      </c>
      <c r="D128" s="2" t="s">
        <v>2</v>
      </c>
      <c r="E128" s="2" t="s">
        <v>3</v>
      </c>
      <c r="F128" s="2" t="s">
        <v>7</v>
      </c>
      <c r="G128" s="2" t="s">
        <v>8</v>
      </c>
      <c r="H128" s="2" t="s">
        <v>4</v>
      </c>
      <c r="I128" s="2" t="s">
        <v>5</v>
      </c>
    </row>
    <row r="129" spans="1:11" ht="25.5" x14ac:dyDescent="0.25">
      <c r="A129" s="3">
        <v>1</v>
      </c>
      <c r="B129" s="32" t="s">
        <v>673</v>
      </c>
      <c r="C129" s="3" t="s">
        <v>216</v>
      </c>
      <c r="D129" s="3" t="s">
        <v>700</v>
      </c>
      <c r="E129" s="3" t="s">
        <v>24</v>
      </c>
      <c r="F129" s="21">
        <v>41992</v>
      </c>
      <c r="G129" s="3" t="s">
        <v>659</v>
      </c>
      <c r="H129" s="13">
        <v>24900000</v>
      </c>
      <c r="I129" s="13">
        <v>22280300</v>
      </c>
    </row>
    <row r="130" spans="1:11" x14ac:dyDescent="0.25">
      <c r="A130" s="42" t="s">
        <v>706</v>
      </c>
      <c r="B130" s="43"/>
      <c r="C130" s="43"/>
      <c r="D130" s="43"/>
      <c r="E130" s="43"/>
      <c r="F130" s="43"/>
      <c r="G130" s="43"/>
      <c r="H130" s="44"/>
      <c r="I130" s="13">
        <v>6665310.4000000004</v>
      </c>
    </row>
    <row r="131" spans="1:11" ht="7.5" customHeight="1" x14ac:dyDescent="0.25"/>
    <row r="132" spans="1:11" x14ac:dyDescent="0.25">
      <c r="A132" s="46" t="s">
        <v>20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1:11" ht="63.75" customHeight="1" x14ac:dyDescent="0.25">
      <c r="A133" s="4" t="s">
        <v>0</v>
      </c>
      <c r="B133" s="5" t="s">
        <v>10</v>
      </c>
      <c r="C133" s="5" t="s">
        <v>9</v>
      </c>
      <c r="D133" s="5" t="s">
        <v>13</v>
      </c>
      <c r="E133" s="5" t="s">
        <v>12</v>
      </c>
      <c r="F133" s="5" t="s">
        <v>11</v>
      </c>
      <c r="G133" s="5" t="s">
        <v>18</v>
      </c>
      <c r="H133" s="5" t="s">
        <v>14</v>
      </c>
      <c r="I133" s="5" t="s">
        <v>15</v>
      </c>
      <c r="J133" s="5" t="s">
        <v>16</v>
      </c>
      <c r="K133" s="5" t="s">
        <v>17</v>
      </c>
    </row>
    <row r="134" spans="1:11" ht="24" x14ac:dyDescent="0.25">
      <c r="A134" s="3">
        <v>1</v>
      </c>
      <c r="B134" s="14" t="s">
        <v>173</v>
      </c>
      <c r="C134" s="15" t="str">
        <f>"UG-00697/15"</f>
        <v>UG-00697/15</v>
      </c>
      <c r="D134" s="15" t="str">
        <f t="shared" ref="D134:D145" si="6">CONCATENATE("INA INDUSTRIJA NAFTE D.D.")</f>
        <v>INA INDUSTRIJA NAFTE D.D.</v>
      </c>
      <c r="E134" s="16">
        <v>42156</v>
      </c>
      <c r="F134" s="16">
        <v>42369</v>
      </c>
      <c r="G134" s="13">
        <v>268688</v>
      </c>
      <c r="H134" s="16">
        <v>42369</v>
      </c>
      <c r="I134" s="40">
        <v>0</v>
      </c>
      <c r="J134" s="40">
        <f>I134*1.25</f>
        <v>0</v>
      </c>
      <c r="K134" s="6"/>
    </row>
    <row r="135" spans="1:11" ht="24" x14ac:dyDescent="0.25">
      <c r="A135" s="3">
        <v>2</v>
      </c>
      <c r="B135" s="14" t="s">
        <v>177</v>
      </c>
      <c r="C135" s="15" t="str">
        <f>"UG-00595/15"</f>
        <v>UG-00595/15</v>
      </c>
      <c r="D135" s="15" t="str">
        <f t="shared" si="6"/>
        <v>INA INDUSTRIJA NAFTE D.D.</v>
      </c>
      <c r="E135" s="16">
        <v>42103</v>
      </c>
      <c r="F135" s="16">
        <v>42369</v>
      </c>
      <c r="G135" s="13">
        <v>95796</v>
      </c>
      <c r="H135" s="16">
        <v>42369</v>
      </c>
      <c r="I135" s="13">
        <v>91267.17</v>
      </c>
      <c r="J135" s="13">
        <f t="shared" ref="J135:J145" si="7">I135*1.25</f>
        <v>114083.96249999999</v>
      </c>
      <c r="K135" s="6"/>
    </row>
    <row r="136" spans="1:11" ht="24" x14ac:dyDescent="0.25">
      <c r="A136" s="3">
        <v>3</v>
      </c>
      <c r="B136" s="14" t="s">
        <v>51</v>
      </c>
      <c r="C136" s="15" t="str">
        <f>"UG-00582/15"</f>
        <v>UG-00582/15</v>
      </c>
      <c r="D136" s="15" t="str">
        <f t="shared" si="6"/>
        <v>INA INDUSTRIJA NAFTE D.D.</v>
      </c>
      <c r="E136" s="16">
        <v>42064</v>
      </c>
      <c r="F136" s="16">
        <v>42369</v>
      </c>
      <c r="G136" s="13">
        <v>104428.8</v>
      </c>
      <c r="H136" s="16">
        <v>42369</v>
      </c>
      <c r="I136" s="13">
        <v>126686.95</v>
      </c>
      <c r="J136" s="13">
        <f t="shared" si="7"/>
        <v>158358.6875</v>
      </c>
      <c r="K136" s="6"/>
    </row>
    <row r="137" spans="1:11" ht="24" x14ac:dyDescent="0.25">
      <c r="A137" s="3">
        <v>4</v>
      </c>
      <c r="B137" s="14" t="s">
        <v>62</v>
      </c>
      <c r="C137" s="15" t="str">
        <f>"UG-00527/15"</f>
        <v>UG-00527/15</v>
      </c>
      <c r="D137" s="15" t="str">
        <f t="shared" si="6"/>
        <v>INA INDUSTRIJA NAFTE D.D.</v>
      </c>
      <c r="E137" s="16">
        <v>42059</v>
      </c>
      <c r="F137" s="16">
        <v>42369</v>
      </c>
      <c r="G137" s="13">
        <v>6000</v>
      </c>
      <c r="H137" s="16">
        <v>42369</v>
      </c>
      <c r="I137" s="13">
        <v>4196.21</v>
      </c>
      <c r="J137" s="13">
        <f t="shared" si="7"/>
        <v>5245.2624999999998</v>
      </c>
      <c r="K137" s="6"/>
    </row>
    <row r="138" spans="1:11" ht="24" x14ac:dyDescent="0.25">
      <c r="A138" s="3">
        <v>5</v>
      </c>
      <c r="B138" s="14" t="s">
        <v>217</v>
      </c>
      <c r="C138" s="15" t="str">
        <f>"UG-00541/15"</f>
        <v>UG-00541/15</v>
      </c>
      <c r="D138" s="15" t="str">
        <f t="shared" si="6"/>
        <v>INA INDUSTRIJA NAFTE D.D.</v>
      </c>
      <c r="E138" s="16">
        <v>42069</v>
      </c>
      <c r="F138" s="16">
        <v>42722</v>
      </c>
      <c r="G138" s="13">
        <v>542300</v>
      </c>
      <c r="H138" s="16">
        <v>42722</v>
      </c>
      <c r="I138" s="13">
        <v>250395.56</v>
      </c>
      <c r="J138" s="13">
        <f t="shared" si="7"/>
        <v>312994.45</v>
      </c>
      <c r="K138" s="6"/>
    </row>
    <row r="139" spans="1:11" ht="24" x14ac:dyDescent="0.25">
      <c r="A139" s="3">
        <v>6</v>
      </c>
      <c r="B139" s="14" t="s">
        <v>55</v>
      </c>
      <c r="C139" s="15" t="str">
        <f>"1-13-15-4-1"</f>
        <v>1-13-15-4-1</v>
      </c>
      <c r="D139" s="15" t="str">
        <f t="shared" si="6"/>
        <v>INA INDUSTRIJA NAFTE D.D.</v>
      </c>
      <c r="E139" s="16">
        <v>42032</v>
      </c>
      <c r="F139" s="16">
        <v>42723</v>
      </c>
      <c r="G139" s="13">
        <v>1046080</v>
      </c>
      <c r="H139" s="16">
        <v>42723</v>
      </c>
      <c r="I139" s="13">
        <v>824966.56</v>
      </c>
      <c r="J139" s="13">
        <f t="shared" si="7"/>
        <v>1031208.2000000001</v>
      </c>
      <c r="K139" s="6"/>
    </row>
    <row r="140" spans="1:11" ht="24" x14ac:dyDescent="0.25">
      <c r="A140" s="3">
        <v>7</v>
      </c>
      <c r="B140" s="14" t="s">
        <v>202</v>
      </c>
      <c r="C140" s="15" t="str">
        <f>"UG-50000234-00115/15"</f>
        <v>UG-50000234-00115/15</v>
      </c>
      <c r="D140" s="15" t="str">
        <f t="shared" si="6"/>
        <v>INA INDUSTRIJA NAFTE D.D.</v>
      </c>
      <c r="E140" s="16">
        <v>42020</v>
      </c>
      <c r="F140" s="16">
        <v>42369</v>
      </c>
      <c r="G140" s="13">
        <v>4490.3999999999996</v>
      </c>
      <c r="H140" s="16">
        <v>42369</v>
      </c>
      <c r="I140" s="13">
        <v>6747.32</v>
      </c>
      <c r="J140" s="13">
        <f t="shared" si="7"/>
        <v>8434.15</v>
      </c>
      <c r="K140" s="6"/>
    </row>
    <row r="141" spans="1:11" ht="24" x14ac:dyDescent="0.25">
      <c r="A141" s="3">
        <v>8</v>
      </c>
      <c r="B141" s="14" t="s">
        <v>208</v>
      </c>
      <c r="C141" s="15" t="str">
        <f>"UG-50000234-00322/15"</f>
        <v>UG-50000234-00322/15</v>
      </c>
      <c r="D141" s="15" t="str">
        <f t="shared" si="6"/>
        <v>INA INDUSTRIJA NAFTE D.D.</v>
      </c>
      <c r="E141" s="16">
        <v>42024</v>
      </c>
      <c r="F141" s="16">
        <v>42369</v>
      </c>
      <c r="G141" s="13">
        <v>86808</v>
      </c>
      <c r="H141" s="16">
        <v>42369</v>
      </c>
      <c r="I141" s="13">
        <v>99136.15</v>
      </c>
      <c r="J141" s="13">
        <f t="shared" si="7"/>
        <v>123920.1875</v>
      </c>
      <c r="K141" s="6"/>
    </row>
    <row r="142" spans="1:11" ht="24" x14ac:dyDescent="0.25">
      <c r="A142" s="3">
        <v>9</v>
      </c>
      <c r="B142" s="14" t="s">
        <v>40</v>
      </c>
      <c r="C142" s="15" t="str">
        <f>"4-2015/P+VP"</f>
        <v>4-2015/P+VP</v>
      </c>
      <c r="D142" s="15" t="str">
        <f t="shared" si="6"/>
        <v>INA INDUSTRIJA NAFTE D.D.</v>
      </c>
      <c r="E142" s="16">
        <v>42004</v>
      </c>
      <c r="F142" s="16">
        <v>42369</v>
      </c>
      <c r="G142" s="13">
        <v>49692</v>
      </c>
      <c r="H142" s="16">
        <v>42369</v>
      </c>
      <c r="I142" s="13">
        <v>36925.71</v>
      </c>
      <c r="J142" s="13">
        <f t="shared" si="7"/>
        <v>46157.137499999997</v>
      </c>
      <c r="K142" s="6"/>
    </row>
    <row r="143" spans="1:11" ht="24" x14ac:dyDescent="0.25">
      <c r="A143" s="3">
        <v>10</v>
      </c>
      <c r="B143" s="14" t="s">
        <v>218</v>
      </c>
      <c r="C143" s="15" t="str">
        <f>"UG-50000234-00344/15"</f>
        <v>UG-50000234-00344/15</v>
      </c>
      <c r="D143" s="15" t="str">
        <f t="shared" si="6"/>
        <v>INA INDUSTRIJA NAFTE D.D.</v>
      </c>
      <c r="E143" s="16">
        <v>42023</v>
      </c>
      <c r="F143" s="16">
        <v>42369</v>
      </c>
      <c r="G143" s="13">
        <v>2694.24</v>
      </c>
      <c r="H143" s="16">
        <v>42369</v>
      </c>
      <c r="I143" s="13">
        <v>3723</v>
      </c>
      <c r="J143" s="13">
        <f t="shared" si="7"/>
        <v>4653.75</v>
      </c>
      <c r="K143" s="6"/>
    </row>
    <row r="144" spans="1:11" ht="24" x14ac:dyDescent="0.25">
      <c r="A144" s="3">
        <v>11</v>
      </c>
      <c r="B144" s="14" t="s">
        <v>27</v>
      </c>
      <c r="C144" s="15" t="str">
        <f>"4/2014-01-2"</f>
        <v>4/2014-01-2</v>
      </c>
      <c r="D144" s="15" t="str">
        <f t="shared" si="6"/>
        <v>INA INDUSTRIJA NAFTE D.D.</v>
      </c>
      <c r="E144" s="16">
        <v>42027</v>
      </c>
      <c r="F144" s="16">
        <v>42369</v>
      </c>
      <c r="G144" s="13">
        <v>6585833.5999999996</v>
      </c>
      <c r="H144" s="16">
        <v>42369</v>
      </c>
      <c r="I144" s="13">
        <v>5207816.17</v>
      </c>
      <c r="J144" s="13">
        <f t="shared" si="7"/>
        <v>6509770.2125000004</v>
      </c>
      <c r="K144" s="6"/>
    </row>
    <row r="145" spans="1:11" ht="24" x14ac:dyDescent="0.25">
      <c r="A145" s="3">
        <v>12</v>
      </c>
      <c r="B145" s="14" t="s">
        <v>189</v>
      </c>
      <c r="C145" s="15" t="str">
        <f>"UG-50000234-00383/15"</f>
        <v>UG-50000234-00383/15</v>
      </c>
      <c r="D145" s="15" t="str">
        <f t="shared" si="6"/>
        <v>INA INDUSTRIJA NAFTE D.D.</v>
      </c>
      <c r="E145" s="16">
        <v>42031</v>
      </c>
      <c r="F145" s="16">
        <v>42369</v>
      </c>
      <c r="G145" s="13">
        <v>13449.6</v>
      </c>
      <c r="H145" s="16">
        <v>42369</v>
      </c>
      <c r="I145" s="13">
        <v>13449.6</v>
      </c>
      <c r="J145" s="13">
        <f t="shared" si="7"/>
        <v>16812</v>
      </c>
      <c r="K145" s="6"/>
    </row>
    <row r="146" spans="1:11" ht="7.5" customHeight="1" x14ac:dyDescent="0.25"/>
    <row r="147" spans="1:11" ht="42" customHeight="1" x14ac:dyDescent="0.25">
      <c r="A147" s="1" t="s">
        <v>0</v>
      </c>
      <c r="B147" s="2" t="s">
        <v>1</v>
      </c>
      <c r="C147" s="2" t="s">
        <v>6</v>
      </c>
      <c r="D147" s="2" t="s">
        <v>2</v>
      </c>
      <c r="E147" s="2" t="s">
        <v>3</v>
      </c>
      <c r="F147" s="2" t="s">
        <v>7</v>
      </c>
      <c r="G147" s="2" t="s">
        <v>8</v>
      </c>
      <c r="H147" s="2" t="s">
        <v>4</v>
      </c>
      <c r="I147" s="2" t="s">
        <v>5</v>
      </c>
    </row>
    <row r="148" spans="1:11" ht="25.5" x14ac:dyDescent="0.25">
      <c r="A148" s="3">
        <v>1</v>
      </c>
      <c r="B148" s="32" t="s">
        <v>674</v>
      </c>
      <c r="C148" s="3" t="s">
        <v>219</v>
      </c>
      <c r="D148" s="3" t="s">
        <v>700</v>
      </c>
      <c r="E148" s="3" t="s">
        <v>24</v>
      </c>
      <c r="F148" s="21">
        <v>41992</v>
      </c>
      <c r="G148" s="3" t="s">
        <v>659</v>
      </c>
      <c r="H148" s="13">
        <v>107500000</v>
      </c>
      <c r="I148" s="13">
        <v>94375100</v>
      </c>
    </row>
    <row r="149" spans="1:11" x14ac:dyDescent="0.25">
      <c r="A149" s="42" t="s">
        <v>706</v>
      </c>
      <c r="B149" s="43"/>
      <c r="C149" s="43"/>
      <c r="D149" s="43"/>
      <c r="E149" s="43"/>
      <c r="F149" s="43"/>
      <c r="G149" s="43"/>
      <c r="H149" s="44"/>
      <c r="I149" s="13">
        <v>36078538.710000001</v>
      </c>
    </row>
    <row r="150" spans="1:11" ht="7.5" customHeight="1" x14ac:dyDescent="0.25"/>
    <row r="151" spans="1:11" x14ac:dyDescent="0.25">
      <c r="A151" s="46" t="s">
        <v>20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 ht="63.75" customHeight="1" x14ac:dyDescent="0.25">
      <c r="A152" s="4" t="s">
        <v>0</v>
      </c>
      <c r="B152" s="5" t="s">
        <v>10</v>
      </c>
      <c r="C152" s="5" t="s">
        <v>9</v>
      </c>
      <c r="D152" s="5" t="s">
        <v>13</v>
      </c>
      <c r="E152" s="5" t="s">
        <v>12</v>
      </c>
      <c r="F152" s="5" t="s">
        <v>11</v>
      </c>
      <c r="G152" s="5" t="s">
        <v>18</v>
      </c>
      <c r="H152" s="5" t="s">
        <v>14</v>
      </c>
      <c r="I152" s="5" t="s">
        <v>15</v>
      </c>
      <c r="J152" s="5" t="s">
        <v>16</v>
      </c>
      <c r="K152" s="5" t="s">
        <v>17</v>
      </c>
    </row>
    <row r="153" spans="1:11" ht="24" x14ac:dyDescent="0.25">
      <c r="A153" s="3">
        <v>1</v>
      </c>
      <c r="B153" s="14" t="s">
        <v>44</v>
      </c>
      <c r="C153" s="15" t="str">
        <f>"4/2014-4-29/2015"</f>
        <v>4/2014-4-29/2015</v>
      </c>
      <c r="D153" s="15" t="str">
        <f t="shared" ref="D153:D164" si="8">CONCATENATE("INA INDUSTRIJA NAFTE D.D.")</f>
        <v>INA INDUSTRIJA NAFTE D.D.</v>
      </c>
      <c r="E153" s="16">
        <v>42090</v>
      </c>
      <c r="F153" s="16"/>
      <c r="G153" s="13">
        <v>644.20000000000005</v>
      </c>
      <c r="H153" s="16"/>
      <c r="I153" s="13">
        <v>644.20000000000005</v>
      </c>
      <c r="J153" s="13">
        <f>I153*1.25</f>
        <v>805.25</v>
      </c>
      <c r="K153" s="6"/>
    </row>
    <row r="154" spans="1:11" ht="24" x14ac:dyDescent="0.25">
      <c r="A154" s="3">
        <v>2</v>
      </c>
      <c r="B154" s="14" t="s">
        <v>41</v>
      </c>
      <c r="C154" s="15" t="str">
        <f>"NAR 681"</f>
        <v>NAR 681</v>
      </c>
      <c r="D154" s="15" t="str">
        <f t="shared" si="8"/>
        <v>INA INDUSTRIJA NAFTE D.D.</v>
      </c>
      <c r="E154" s="16">
        <v>42123</v>
      </c>
      <c r="F154" s="16">
        <v>42123</v>
      </c>
      <c r="G154" s="13">
        <v>2115</v>
      </c>
      <c r="H154" s="16">
        <v>42123</v>
      </c>
      <c r="I154" s="13">
        <v>2115</v>
      </c>
      <c r="J154" s="13">
        <f t="shared" ref="J154:J164" si="9">I154*1.25</f>
        <v>2643.75</v>
      </c>
      <c r="K154" s="6"/>
    </row>
    <row r="155" spans="1:11" ht="24" x14ac:dyDescent="0.25">
      <c r="A155" s="3">
        <v>3</v>
      </c>
      <c r="B155" s="14" t="s">
        <v>172</v>
      </c>
      <c r="C155" s="15" t="str">
        <f>"UG-50457193-00120/14"</f>
        <v>UG-50457193-00120/14</v>
      </c>
      <c r="D155" s="15" t="str">
        <f t="shared" si="8"/>
        <v>INA INDUSTRIJA NAFTE D.D.</v>
      </c>
      <c r="E155" s="16">
        <v>42244</v>
      </c>
      <c r="F155" s="16">
        <v>42720</v>
      </c>
      <c r="G155" s="13">
        <v>2745366.5</v>
      </c>
      <c r="H155" s="16">
        <v>42720</v>
      </c>
      <c r="I155" s="13">
        <v>448105.05</v>
      </c>
      <c r="J155" s="13">
        <f t="shared" si="9"/>
        <v>560131.3125</v>
      </c>
      <c r="K155" s="6"/>
    </row>
    <row r="156" spans="1:11" ht="24" x14ac:dyDescent="0.25">
      <c r="A156" s="3">
        <v>4</v>
      </c>
      <c r="B156" s="14" t="s">
        <v>165</v>
      </c>
      <c r="C156" s="15" t="str">
        <f>"118-1/2015"</f>
        <v>118-1/2015</v>
      </c>
      <c r="D156" s="15" t="str">
        <f t="shared" si="8"/>
        <v>INA INDUSTRIJA NAFTE D.D.</v>
      </c>
      <c r="E156" s="16">
        <v>42129</v>
      </c>
      <c r="F156" s="16">
        <v>42129</v>
      </c>
      <c r="G156" s="13">
        <v>15284.8</v>
      </c>
      <c r="H156" s="16">
        <v>42129</v>
      </c>
      <c r="I156" s="13">
        <v>15022.92</v>
      </c>
      <c r="J156" s="13">
        <f t="shared" si="9"/>
        <v>18778.650000000001</v>
      </c>
      <c r="K156" s="6"/>
    </row>
    <row r="157" spans="1:11" ht="36" x14ac:dyDescent="0.25">
      <c r="A157" s="3">
        <v>5</v>
      </c>
      <c r="B157" s="14" t="s">
        <v>181</v>
      </c>
      <c r="C157" s="15" t="str">
        <f>"UG-50457193-00082/15"</f>
        <v>UG-50457193-00082/15</v>
      </c>
      <c r="D157" s="15" t="str">
        <f t="shared" si="8"/>
        <v>INA INDUSTRIJA NAFTE D.D.</v>
      </c>
      <c r="E157" s="16">
        <v>42064</v>
      </c>
      <c r="F157" s="16">
        <v>42369</v>
      </c>
      <c r="G157" s="13">
        <v>3216</v>
      </c>
      <c r="H157" s="16">
        <v>42369</v>
      </c>
      <c r="I157" s="13">
        <v>0</v>
      </c>
      <c r="J157" s="13">
        <f t="shared" si="9"/>
        <v>0</v>
      </c>
      <c r="K157" s="6"/>
    </row>
    <row r="158" spans="1:11" ht="24" x14ac:dyDescent="0.25">
      <c r="A158" s="3">
        <v>6</v>
      </c>
      <c r="B158" s="14" t="s">
        <v>62</v>
      </c>
      <c r="C158" s="15" t="str">
        <f>"UG-50457193-00078/15"</f>
        <v>UG-50457193-00078/15</v>
      </c>
      <c r="D158" s="15" t="str">
        <f t="shared" si="8"/>
        <v>INA INDUSTRIJA NAFTE D.D.</v>
      </c>
      <c r="E158" s="16">
        <v>42064</v>
      </c>
      <c r="F158" s="16">
        <v>42369</v>
      </c>
      <c r="G158" s="13">
        <v>34000</v>
      </c>
      <c r="H158" s="16">
        <v>42369</v>
      </c>
      <c r="I158" s="13">
        <v>18750.62</v>
      </c>
      <c r="J158" s="13">
        <f t="shared" si="9"/>
        <v>23438.274999999998</v>
      </c>
      <c r="K158" s="6"/>
    </row>
    <row r="159" spans="1:11" ht="24" x14ac:dyDescent="0.25">
      <c r="A159" s="3">
        <v>7</v>
      </c>
      <c r="B159" s="14" t="s">
        <v>42</v>
      </c>
      <c r="C159" s="15" t="str">
        <f>"UG-50457193-00075/15"</f>
        <v>UG-50457193-00075/15</v>
      </c>
      <c r="D159" s="15" t="str">
        <f t="shared" si="8"/>
        <v>INA INDUSTRIJA NAFTE D.D.</v>
      </c>
      <c r="E159" s="16">
        <v>42060</v>
      </c>
      <c r="F159" s="16">
        <v>42425</v>
      </c>
      <c r="G159" s="13">
        <v>22924048</v>
      </c>
      <c r="H159" s="16">
        <v>42425</v>
      </c>
      <c r="I159" s="13">
        <v>34430339.700000003</v>
      </c>
      <c r="J159" s="13">
        <f t="shared" si="9"/>
        <v>43037924.625</v>
      </c>
      <c r="K159" s="6"/>
    </row>
    <row r="160" spans="1:11" ht="24" x14ac:dyDescent="0.25">
      <c r="A160" s="3">
        <v>8</v>
      </c>
      <c r="B160" s="14" t="s">
        <v>55</v>
      </c>
      <c r="C160" s="15" t="str">
        <f>"1-13-15-2-1"</f>
        <v>1-13-15-2-1</v>
      </c>
      <c r="D160" s="15" t="str">
        <f t="shared" si="8"/>
        <v>INA INDUSTRIJA NAFTE D.D.</v>
      </c>
      <c r="E160" s="16">
        <v>42024</v>
      </c>
      <c r="F160" s="16">
        <v>42723</v>
      </c>
      <c r="G160" s="13">
        <v>99123.199999999997</v>
      </c>
      <c r="H160" s="16">
        <v>42723</v>
      </c>
      <c r="I160" s="13">
        <v>32375.03</v>
      </c>
      <c r="J160" s="13">
        <f t="shared" si="9"/>
        <v>40468.787499999999</v>
      </c>
      <c r="K160" s="6"/>
    </row>
    <row r="161" spans="1:11" ht="24" x14ac:dyDescent="0.25">
      <c r="A161" s="3">
        <v>9</v>
      </c>
      <c r="B161" s="14" t="s">
        <v>29</v>
      </c>
      <c r="C161" s="15" t="str">
        <f>"UG-50457193-00036/15"</f>
        <v>UG-50457193-00036/15</v>
      </c>
      <c r="D161" s="15" t="str">
        <f t="shared" si="8"/>
        <v>INA INDUSTRIJA NAFTE D.D.</v>
      </c>
      <c r="E161" s="16">
        <v>42034</v>
      </c>
      <c r="F161" s="16">
        <v>42399</v>
      </c>
      <c r="G161" s="13">
        <v>457856</v>
      </c>
      <c r="H161" s="16">
        <v>42399</v>
      </c>
      <c r="I161" s="13">
        <v>235186.19</v>
      </c>
      <c r="J161" s="13">
        <f t="shared" si="9"/>
        <v>293982.73749999999</v>
      </c>
      <c r="K161" s="6"/>
    </row>
    <row r="162" spans="1:11" ht="24" x14ac:dyDescent="0.25">
      <c r="A162" s="3">
        <v>10</v>
      </c>
      <c r="B162" s="14" t="s">
        <v>220</v>
      </c>
      <c r="C162" s="15" t="str">
        <f>"UG-50457193-00032/15"</f>
        <v>UG-50457193-00032/15</v>
      </c>
      <c r="D162" s="15" t="str">
        <f t="shared" si="8"/>
        <v>INA INDUSTRIJA NAFTE D.D.</v>
      </c>
      <c r="E162" s="16">
        <v>42027</v>
      </c>
      <c r="F162" s="16">
        <v>42723</v>
      </c>
      <c r="G162" s="13">
        <v>3379.2</v>
      </c>
      <c r="H162" s="16">
        <v>42723</v>
      </c>
      <c r="I162" s="13">
        <v>0</v>
      </c>
      <c r="J162" s="13">
        <f t="shared" si="9"/>
        <v>0</v>
      </c>
      <c r="K162" s="6"/>
    </row>
    <row r="163" spans="1:11" ht="24" x14ac:dyDescent="0.25">
      <c r="A163" s="3">
        <v>11</v>
      </c>
      <c r="B163" s="14" t="s">
        <v>206</v>
      </c>
      <c r="C163" s="15" t="str">
        <f>"UG-50457193-00038/15"</f>
        <v>UG-50457193-00038/15</v>
      </c>
      <c r="D163" s="15" t="str">
        <f t="shared" si="8"/>
        <v>INA INDUSTRIJA NAFTE D.D.</v>
      </c>
      <c r="E163" s="16">
        <v>42005</v>
      </c>
      <c r="F163" s="16">
        <v>42369</v>
      </c>
      <c r="G163" s="13">
        <v>433147.28</v>
      </c>
      <c r="H163" s="16">
        <v>42369</v>
      </c>
      <c r="I163" s="40">
        <v>0</v>
      </c>
      <c r="J163" s="40">
        <f t="shared" si="9"/>
        <v>0</v>
      </c>
      <c r="K163" s="6"/>
    </row>
    <row r="164" spans="1:11" ht="24" x14ac:dyDescent="0.25">
      <c r="A164" s="3">
        <v>12</v>
      </c>
      <c r="B164" s="14" t="s">
        <v>27</v>
      </c>
      <c r="C164" s="15" t="str">
        <f>"4/2014-01-1"</f>
        <v>4/2014-01-1</v>
      </c>
      <c r="D164" s="15" t="str">
        <f t="shared" si="8"/>
        <v>INA INDUSTRIJA NAFTE D.D.</v>
      </c>
      <c r="E164" s="16">
        <v>42027</v>
      </c>
      <c r="F164" s="16">
        <v>42369</v>
      </c>
      <c r="G164" s="13">
        <v>6414297.04</v>
      </c>
      <c r="H164" s="16">
        <v>42369</v>
      </c>
      <c r="I164" s="13">
        <v>896000</v>
      </c>
      <c r="J164" s="13">
        <f t="shared" si="9"/>
        <v>1120000</v>
      </c>
      <c r="K164" s="6"/>
    </row>
    <row r="165" spans="1:11" ht="7.5" customHeight="1" x14ac:dyDescent="0.25"/>
    <row r="166" spans="1:11" ht="42" customHeight="1" x14ac:dyDescent="0.25">
      <c r="A166" s="1" t="s">
        <v>0</v>
      </c>
      <c r="B166" s="2" t="s">
        <v>1</v>
      </c>
      <c r="C166" s="2" t="s">
        <v>6</v>
      </c>
      <c r="D166" s="2" t="s">
        <v>2</v>
      </c>
      <c r="E166" s="2" t="s">
        <v>3</v>
      </c>
      <c r="F166" s="2" t="s">
        <v>7</v>
      </c>
      <c r="G166" s="2" t="s">
        <v>8</v>
      </c>
      <c r="H166" s="2" t="s">
        <v>4</v>
      </c>
      <c r="I166" s="2" t="s">
        <v>5</v>
      </c>
    </row>
    <row r="167" spans="1:11" ht="39" customHeight="1" x14ac:dyDescent="0.25">
      <c r="A167" s="3">
        <v>1</v>
      </c>
      <c r="B167" s="32" t="s">
        <v>675</v>
      </c>
      <c r="C167" s="3" t="s">
        <v>221</v>
      </c>
      <c r="D167" s="3" t="s">
        <v>700</v>
      </c>
      <c r="E167" s="3" t="s">
        <v>24</v>
      </c>
      <c r="F167" s="21">
        <v>41992</v>
      </c>
      <c r="G167" s="3" t="s">
        <v>659</v>
      </c>
      <c r="H167" s="13">
        <v>63000000</v>
      </c>
      <c r="I167" s="13">
        <v>57798502</v>
      </c>
    </row>
    <row r="168" spans="1:11" x14ac:dyDescent="0.25">
      <c r="A168" s="42" t="s">
        <v>706</v>
      </c>
      <c r="B168" s="43"/>
      <c r="C168" s="43"/>
      <c r="D168" s="43"/>
      <c r="E168" s="43"/>
      <c r="F168" s="43"/>
      <c r="G168" s="43"/>
      <c r="H168" s="44"/>
      <c r="I168" s="13">
        <v>29286478.93</v>
      </c>
    </row>
    <row r="169" spans="1:11" ht="7.5" customHeight="1" x14ac:dyDescent="0.25"/>
    <row r="170" spans="1:11" x14ac:dyDescent="0.25">
      <c r="A170" s="46" t="s">
        <v>20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</row>
    <row r="171" spans="1:11" ht="63.75" customHeight="1" x14ac:dyDescent="0.25">
      <c r="A171" s="4" t="s">
        <v>0</v>
      </c>
      <c r="B171" s="5" t="s">
        <v>10</v>
      </c>
      <c r="C171" s="5" t="s">
        <v>9</v>
      </c>
      <c r="D171" s="5" t="s">
        <v>13</v>
      </c>
      <c r="E171" s="5" t="s">
        <v>12</v>
      </c>
      <c r="F171" s="5" t="s">
        <v>11</v>
      </c>
      <c r="G171" s="5" t="s">
        <v>18</v>
      </c>
      <c r="H171" s="5" t="s">
        <v>14</v>
      </c>
      <c r="I171" s="5" t="s">
        <v>15</v>
      </c>
      <c r="J171" s="5" t="s">
        <v>16</v>
      </c>
      <c r="K171" s="5" t="s">
        <v>17</v>
      </c>
    </row>
    <row r="172" spans="1:11" ht="24" x14ac:dyDescent="0.25">
      <c r="A172" s="3">
        <v>1</v>
      </c>
      <c r="B172" s="14" t="s">
        <v>161</v>
      </c>
      <c r="C172" s="15" t="str">
        <f>"2/15"</f>
        <v>2/15</v>
      </c>
      <c r="D172" s="15" t="str">
        <f t="shared" ref="D172:D220" si="10">CONCATENATE("INA INDUSTRIJA NAFTE D.D.")</f>
        <v>INA INDUSTRIJA NAFTE D.D.</v>
      </c>
      <c r="E172" s="16">
        <v>42012</v>
      </c>
      <c r="F172" s="16"/>
      <c r="G172" s="13">
        <v>787</v>
      </c>
      <c r="H172" s="16"/>
      <c r="I172" s="13">
        <v>0</v>
      </c>
      <c r="J172" s="13">
        <f>I172*1.25</f>
        <v>0</v>
      </c>
      <c r="K172" s="6"/>
    </row>
    <row r="173" spans="1:11" ht="24" x14ac:dyDescent="0.25">
      <c r="A173" s="3">
        <v>2</v>
      </c>
      <c r="B173" s="14" t="s">
        <v>45</v>
      </c>
      <c r="C173" s="15" t="str">
        <f>"4/2014-5-U1"</f>
        <v>4/2014-5-U1</v>
      </c>
      <c r="D173" s="15" t="str">
        <f t="shared" si="10"/>
        <v>INA INDUSTRIJA NAFTE D.D.</v>
      </c>
      <c r="E173" s="16">
        <v>42005</v>
      </c>
      <c r="F173" s="16"/>
      <c r="G173" s="13">
        <v>323674</v>
      </c>
      <c r="H173" s="16"/>
      <c r="I173" s="13">
        <v>202451.16</v>
      </c>
      <c r="J173" s="13">
        <f t="shared" ref="J173:J230" si="11">I173*1.25</f>
        <v>253063.95</v>
      </c>
      <c r="K173" s="6"/>
    </row>
    <row r="174" spans="1:11" ht="24" x14ac:dyDescent="0.25">
      <c r="A174" s="3">
        <v>3</v>
      </c>
      <c r="B174" s="14" t="s">
        <v>223</v>
      </c>
      <c r="C174" s="15" t="str">
        <f>"KLASA:406-07/15-02/2"</f>
        <v>KLASA:406-07/15-02/2</v>
      </c>
      <c r="D174" s="15" t="str">
        <f t="shared" si="10"/>
        <v>INA INDUSTRIJA NAFTE D.D.</v>
      </c>
      <c r="E174" s="16">
        <v>42005</v>
      </c>
      <c r="F174" s="16"/>
      <c r="G174" s="13">
        <v>11608.25</v>
      </c>
      <c r="H174" s="16"/>
      <c r="I174" s="13">
        <v>0</v>
      </c>
      <c r="J174" s="13">
        <f t="shared" si="11"/>
        <v>0</v>
      </c>
      <c r="K174" s="6"/>
    </row>
    <row r="175" spans="1:11" ht="24" x14ac:dyDescent="0.25">
      <c r="A175" s="3">
        <v>4</v>
      </c>
      <c r="B175" s="14" t="s">
        <v>32</v>
      </c>
      <c r="C175" s="15" t="str">
        <f>"920-07/15-13/16-ZG"</f>
        <v>920-07/15-13/16-ZG</v>
      </c>
      <c r="D175" s="15" t="str">
        <f t="shared" si="10"/>
        <v>INA INDUSTRIJA NAFTE D.D.</v>
      </c>
      <c r="E175" s="16">
        <v>42035</v>
      </c>
      <c r="F175" s="16"/>
      <c r="G175" s="13">
        <v>350000</v>
      </c>
      <c r="H175" s="16"/>
      <c r="I175" s="13">
        <v>339619.67</v>
      </c>
      <c r="J175" s="13">
        <f t="shared" si="11"/>
        <v>424524.58749999997</v>
      </c>
      <c r="K175" s="6"/>
    </row>
    <row r="176" spans="1:11" ht="24" x14ac:dyDescent="0.25">
      <c r="A176" s="3">
        <v>5</v>
      </c>
      <c r="B176" s="14" t="s">
        <v>225</v>
      </c>
      <c r="C176" s="15" t="str">
        <f>"356-01/14-6"</f>
        <v>356-01/14-6</v>
      </c>
      <c r="D176" s="15" t="str">
        <f t="shared" si="10"/>
        <v>INA INDUSTRIJA NAFTE D.D.</v>
      </c>
      <c r="E176" s="16">
        <v>42002</v>
      </c>
      <c r="F176" s="16"/>
      <c r="G176" s="13">
        <v>44946.62</v>
      </c>
      <c r="H176" s="16"/>
      <c r="I176" s="13">
        <v>44946.62</v>
      </c>
      <c r="J176" s="13">
        <f t="shared" si="11"/>
        <v>56183.275000000001</v>
      </c>
      <c r="K176" s="6"/>
    </row>
    <row r="177" spans="1:11" ht="24" x14ac:dyDescent="0.25">
      <c r="A177" s="3">
        <v>6</v>
      </c>
      <c r="B177" s="14" t="s">
        <v>26</v>
      </c>
      <c r="C177" s="15" t="str">
        <f>"50000234-00161/15"</f>
        <v>50000234-00161/15</v>
      </c>
      <c r="D177" s="15" t="str">
        <f t="shared" si="10"/>
        <v>INA INDUSTRIJA NAFTE D.D.</v>
      </c>
      <c r="E177" s="16">
        <v>42025</v>
      </c>
      <c r="F177" s="16">
        <v>42369</v>
      </c>
      <c r="G177" s="13">
        <v>102000</v>
      </c>
      <c r="H177" s="16">
        <v>42369</v>
      </c>
      <c r="I177" s="13">
        <v>101655.73</v>
      </c>
      <c r="J177" s="13">
        <f t="shared" si="11"/>
        <v>127069.66249999999</v>
      </c>
      <c r="K177" s="6"/>
    </row>
    <row r="178" spans="1:11" ht="24" x14ac:dyDescent="0.25">
      <c r="A178" s="3">
        <v>7</v>
      </c>
      <c r="B178" s="14" t="s">
        <v>49</v>
      </c>
      <c r="C178" s="15" t="str">
        <f>"16/2015"</f>
        <v>16/2015</v>
      </c>
      <c r="D178" s="15" t="str">
        <f t="shared" si="10"/>
        <v>INA INDUSTRIJA NAFTE D.D.</v>
      </c>
      <c r="E178" s="16">
        <v>42013</v>
      </c>
      <c r="F178" s="16"/>
      <c r="G178" s="13">
        <v>195000</v>
      </c>
      <c r="H178" s="16"/>
      <c r="I178" s="13">
        <v>195000</v>
      </c>
      <c r="J178" s="13">
        <f t="shared" si="11"/>
        <v>243750</v>
      </c>
      <c r="K178" s="6"/>
    </row>
    <row r="179" spans="1:11" ht="24" x14ac:dyDescent="0.25">
      <c r="A179" s="3">
        <v>8</v>
      </c>
      <c r="B179" s="14" t="s">
        <v>31</v>
      </c>
      <c r="C179" s="15" t="str">
        <f>"U003/15"</f>
        <v>U003/15</v>
      </c>
      <c r="D179" s="15" t="str">
        <f t="shared" si="10"/>
        <v>INA INDUSTRIJA NAFTE D.D.</v>
      </c>
      <c r="E179" s="16">
        <v>42072</v>
      </c>
      <c r="F179" s="16"/>
      <c r="G179" s="13">
        <v>236000</v>
      </c>
      <c r="H179" s="16"/>
      <c r="I179" s="13">
        <v>126029.12</v>
      </c>
      <c r="J179" s="13">
        <f t="shared" si="11"/>
        <v>157536.4</v>
      </c>
      <c r="K179" s="6"/>
    </row>
    <row r="180" spans="1:11" ht="24" x14ac:dyDescent="0.25">
      <c r="A180" s="3">
        <v>9</v>
      </c>
      <c r="B180" s="14" t="s">
        <v>226</v>
      </c>
      <c r="C180" s="15" t="str">
        <f>"UG-50000234-00380/15"</f>
        <v>UG-50000234-00380/15</v>
      </c>
      <c r="D180" s="15" t="str">
        <f t="shared" si="10"/>
        <v>INA INDUSTRIJA NAFTE D.D.</v>
      </c>
      <c r="E180" s="16">
        <v>42030</v>
      </c>
      <c r="F180" s="16"/>
      <c r="G180" s="13">
        <v>4581.34</v>
      </c>
      <c r="H180" s="16"/>
      <c r="I180" s="13">
        <v>7116.37</v>
      </c>
      <c r="J180" s="13">
        <f t="shared" si="11"/>
        <v>8895.4624999999996</v>
      </c>
      <c r="K180" s="6"/>
    </row>
    <row r="181" spans="1:11" ht="24" x14ac:dyDescent="0.25">
      <c r="A181" s="3">
        <v>10</v>
      </c>
      <c r="B181" s="14"/>
      <c r="C181" s="15" t="str">
        <f>"50000234-00096/15"</f>
        <v>50000234-00096/15</v>
      </c>
      <c r="D181" s="15" t="str">
        <f t="shared" si="10"/>
        <v>INA INDUSTRIJA NAFTE D.D.</v>
      </c>
      <c r="E181" s="16">
        <v>42017</v>
      </c>
      <c r="F181" s="16"/>
      <c r="G181" s="13">
        <v>1574</v>
      </c>
      <c r="H181" s="16"/>
      <c r="I181" s="13">
        <v>0</v>
      </c>
      <c r="J181" s="13">
        <f t="shared" si="11"/>
        <v>0</v>
      </c>
      <c r="K181" s="6"/>
    </row>
    <row r="182" spans="1:11" ht="24" x14ac:dyDescent="0.25">
      <c r="A182" s="3">
        <v>11</v>
      </c>
      <c r="B182" s="14" t="s">
        <v>227</v>
      </c>
      <c r="C182" s="15" t="str">
        <f>"GORIVO GRUPA 5 NG"</f>
        <v>GORIVO GRUPA 5 NG</v>
      </c>
      <c r="D182" s="15" t="str">
        <f t="shared" si="10"/>
        <v>INA INDUSTRIJA NAFTE D.D.</v>
      </c>
      <c r="E182" s="16">
        <v>42019</v>
      </c>
      <c r="F182" s="16"/>
      <c r="G182" s="13">
        <v>1473.4</v>
      </c>
      <c r="H182" s="16"/>
      <c r="I182" s="13">
        <v>0</v>
      </c>
      <c r="J182" s="13">
        <f t="shared" si="11"/>
        <v>0</v>
      </c>
      <c r="K182" s="6"/>
    </row>
    <row r="183" spans="1:11" ht="24" x14ac:dyDescent="0.25">
      <c r="A183" s="3">
        <v>12</v>
      </c>
      <c r="B183" s="14" t="s">
        <v>212</v>
      </c>
      <c r="C183" s="15" t="str">
        <f>"561-01-15-1130"</f>
        <v>561-01-15-1130</v>
      </c>
      <c r="D183" s="15" t="str">
        <f t="shared" si="10"/>
        <v>INA INDUSTRIJA NAFTE D.D.</v>
      </c>
      <c r="E183" s="16">
        <v>42114</v>
      </c>
      <c r="F183" s="16"/>
      <c r="G183" s="13">
        <v>35230</v>
      </c>
      <c r="H183" s="16"/>
      <c r="I183" s="13">
        <v>0</v>
      </c>
      <c r="J183" s="13">
        <f t="shared" si="11"/>
        <v>0</v>
      </c>
      <c r="K183" s="6"/>
    </row>
    <row r="184" spans="1:11" ht="36" x14ac:dyDescent="0.25">
      <c r="A184" s="3">
        <v>13</v>
      </c>
      <c r="B184" s="14" t="s">
        <v>228</v>
      </c>
      <c r="C184" s="15" t="str">
        <f>"UG-00316/15"</f>
        <v>UG-00316/15</v>
      </c>
      <c r="D184" s="15" t="str">
        <f t="shared" si="10"/>
        <v>INA INDUSTRIJA NAFTE D.D.</v>
      </c>
      <c r="E184" s="16">
        <v>42036</v>
      </c>
      <c r="F184" s="16">
        <v>42369</v>
      </c>
      <c r="G184" s="13">
        <v>2054.5100000000002</v>
      </c>
      <c r="H184" s="16">
        <v>42369</v>
      </c>
      <c r="I184" s="13">
        <v>2054.5100000000002</v>
      </c>
      <c r="J184" s="13">
        <f t="shared" si="11"/>
        <v>2568.1375000000003</v>
      </c>
      <c r="K184" s="6"/>
    </row>
    <row r="185" spans="1:11" ht="24" x14ac:dyDescent="0.25">
      <c r="A185" s="3">
        <v>14</v>
      </c>
      <c r="B185" s="14" t="s">
        <v>229</v>
      </c>
      <c r="C185" s="15" t="str">
        <f>"UG-50000234-00201/15"</f>
        <v>UG-50000234-00201/15</v>
      </c>
      <c r="D185" s="15" t="str">
        <f t="shared" si="10"/>
        <v>INA INDUSTRIJA NAFTE D.D.</v>
      </c>
      <c r="E185" s="16">
        <v>42023</v>
      </c>
      <c r="F185" s="16"/>
      <c r="G185" s="13">
        <v>1278.4000000000001</v>
      </c>
      <c r="H185" s="16"/>
      <c r="I185" s="13">
        <v>249.62</v>
      </c>
      <c r="J185" s="13">
        <f t="shared" si="11"/>
        <v>312.02499999999998</v>
      </c>
      <c r="K185" s="6"/>
    </row>
    <row r="186" spans="1:11" ht="24" x14ac:dyDescent="0.25">
      <c r="A186" s="3">
        <v>15</v>
      </c>
      <c r="B186" s="14" t="s">
        <v>153</v>
      </c>
      <c r="C186" s="15" t="str">
        <f>"UG-50000234"</f>
        <v>UG-50000234</v>
      </c>
      <c r="D186" s="15" t="str">
        <f t="shared" si="10"/>
        <v>INA INDUSTRIJA NAFTE D.D.</v>
      </c>
      <c r="E186" s="16">
        <v>42033</v>
      </c>
      <c r="F186" s="16"/>
      <c r="G186" s="13">
        <v>54000</v>
      </c>
      <c r="H186" s="16"/>
      <c r="I186" s="13">
        <v>3333.65</v>
      </c>
      <c r="J186" s="13">
        <f t="shared" si="11"/>
        <v>4167.0625</v>
      </c>
      <c r="K186" s="6"/>
    </row>
    <row r="187" spans="1:11" ht="24" x14ac:dyDescent="0.25">
      <c r="A187" s="3">
        <v>16</v>
      </c>
      <c r="B187" s="14" t="s">
        <v>46</v>
      </c>
      <c r="C187" s="15" t="str">
        <f>"UG-00438/15"</f>
        <v>UG-00438/15</v>
      </c>
      <c r="D187" s="15" t="str">
        <f t="shared" si="10"/>
        <v>INA INDUSTRIJA NAFTE D.D.</v>
      </c>
      <c r="E187" s="16">
        <v>42032</v>
      </c>
      <c r="F187" s="16">
        <v>42369</v>
      </c>
      <c r="G187" s="13">
        <v>139808</v>
      </c>
      <c r="H187" s="16">
        <v>42369</v>
      </c>
      <c r="I187" s="13">
        <v>8934.0499999999993</v>
      </c>
      <c r="J187" s="13">
        <f t="shared" si="11"/>
        <v>11167.5625</v>
      </c>
      <c r="K187" s="6"/>
    </row>
    <row r="188" spans="1:11" ht="36" x14ac:dyDescent="0.25">
      <c r="A188" s="3">
        <v>17</v>
      </c>
      <c r="B188" s="14" t="s">
        <v>230</v>
      </c>
      <c r="C188" s="15" t="str">
        <f>"00362/15"</f>
        <v>00362/15</v>
      </c>
      <c r="D188" s="15" t="str">
        <f t="shared" si="10"/>
        <v>INA INDUSTRIJA NAFTE D.D.</v>
      </c>
      <c r="E188" s="16">
        <v>42026</v>
      </c>
      <c r="F188" s="16"/>
      <c r="G188" s="13">
        <v>13566</v>
      </c>
      <c r="H188" s="16"/>
      <c r="I188" s="13">
        <v>2700.56</v>
      </c>
      <c r="J188" s="13">
        <f t="shared" si="11"/>
        <v>3375.7</v>
      </c>
      <c r="K188" s="6"/>
    </row>
    <row r="189" spans="1:11" ht="24" x14ac:dyDescent="0.25">
      <c r="A189" s="3">
        <v>18</v>
      </c>
      <c r="B189" s="14" t="s">
        <v>28</v>
      </c>
      <c r="C189" s="15" t="str">
        <f>"MGPU 4/2014-5"</f>
        <v>MGPU 4/2014-5</v>
      </c>
      <c r="D189" s="15" t="str">
        <f t="shared" si="10"/>
        <v>INA INDUSTRIJA NAFTE D.D.</v>
      </c>
      <c r="E189" s="16">
        <v>42034</v>
      </c>
      <c r="F189" s="16">
        <v>42369</v>
      </c>
      <c r="G189" s="13">
        <v>35953.9</v>
      </c>
      <c r="H189" s="16">
        <v>42369</v>
      </c>
      <c r="I189" s="13">
        <v>35953.9</v>
      </c>
      <c r="J189" s="13">
        <f t="shared" si="11"/>
        <v>44942.375</v>
      </c>
      <c r="K189" s="6"/>
    </row>
    <row r="190" spans="1:11" ht="24" x14ac:dyDescent="0.25">
      <c r="A190" s="3">
        <v>19</v>
      </c>
      <c r="B190" s="14" t="s">
        <v>163</v>
      </c>
      <c r="C190" s="15" t="str">
        <f>"50000234-00249/15"</f>
        <v>50000234-00249/15</v>
      </c>
      <c r="D190" s="15" t="str">
        <f t="shared" si="10"/>
        <v>INA INDUSTRIJA NAFTE D.D.</v>
      </c>
      <c r="E190" s="16">
        <v>42023</v>
      </c>
      <c r="F190" s="16">
        <v>42369</v>
      </c>
      <c r="G190" s="13">
        <v>2973.6</v>
      </c>
      <c r="H190" s="16">
        <v>42369</v>
      </c>
      <c r="I190" s="13">
        <v>0</v>
      </c>
      <c r="J190" s="13">
        <f t="shared" si="11"/>
        <v>0</v>
      </c>
      <c r="K190" s="6"/>
    </row>
    <row r="191" spans="1:11" ht="24" x14ac:dyDescent="0.25">
      <c r="A191" s="3">
        <v>20</v>
      </c>
      <c r="B191" s="14" t="s">
        <v>231</v>
      </c>
      <c r="C191" s="15" t="str">
        <f>"UG-00426/15"</f>
        <v>UG-00426/15</v>
      </c>
      <c r="D191" s="15" t="str">
        <f t="shared" si="10"/>
        <v>INA INDUSTRIJA NAFTE D.D.</v>
      </c>
      <c r="E191" s="16">
        <v>42033</v>
      </c>
      <c r="F191" s="16"/>
      <c r="G191" s="13">
        <v>158400</v>
      </c>
      <c r="H191" s="16"/>
      <c r="I191" s="13">
        <v>6448</v>
      </c>
      <c r="J191" s="13">
        <f t="shared" si="11"/>
        <v>8060</v>
      </c>
      <c r="K191" s="6"/>
    </row>
    <row r="192" spans="1:11" ht="24" x14ac:dyDescent="0.25">
      <c r="A192" s="3">
        <v>21</v>
      </c>
      <c r="B192" s="14" t="s">
        <v>232</v>
      </c>
      <c r="C192" s="15" t="str">
        <f>"UG-00749/15"</f>
        <v>UG-00749/15</v>
      </c>
      <c r="D192" s="15" t="str">
        <f t="shared" si="10"/>
        <v>INA INDUSTRIJA NAFTE D.D.</v>
      </c>
      <c r="E192" s="16">
        <v>42262</v>
      </c>
      <c r="F192" s="16">
        <v>42369</v>
      </c>
      <c r="G192" s="13">
        <v>32070.47</v>
      </c>
      <c r="H192" s="16">
        <v>42369</v>
      </c>
      <c r="I192" s="13">
        <v>32070.47</v>
      </c>
      <c r="J192" s="13">
        <f t="shared" si="11"/>
        <v>40088.087500000001</v>
      </c>
      <c r="K192" s="6"/>
    </row>
    <row r="193" spans="1:11" ht="24" x14ac:dyDescent="0.25">
      <c r="A193" s="3">
        <v>22</v>
      </c>
      <c r="B193" s="14" t="s">
        <v>176</v>
      </c>
      <c r="C193" s="15" t="str">
        <f>"UG-00738/15"</f>
        <v>UG-00738/15</v>
      </c>
      <c r="D193" s="15" t="str">
        <f t="shared" si="10"/>
        <v>INA INDUSTRIJA NAFTE D.D.</v>
      </c>
      <c r="E193" s="16">
        <v>42235</v>
      </c>
      <c r="F193" s="16">
        <v>42722</v>
      </c>
      <c r="G193" s="13">
        <v>1356.48</v>
      </c>
      <c r="H193" s="16">
        <v>42722</v>
      </c>
      <c r="I193" s="13">
        <v>0</v>
      </c>
      <c r="J193" s="13">
        <f t="shared" si="11"/>
        <v>0</v>
      </c>
      <c r="K193" s="6"/>
    </row>
    <row r="194" spans="1:11" ht="36" x14ac:dyDescent="0.25">
      <c r="A194" s="3">
        <v>23</v>
      </c>
      <c r="B194" s="14" t="s">
        <v>233</v>
      </c>
      <c r="C194" s="15" t="str">
        <f>"UG-00747/15"</f>
        <v>UG-00747/15</v>
      </c>
      <c r="D194" s="15" t="str">
        <f t="shared" si="10"/>
        <v>INA INDUSTRIJA NAFTE D.D.</v>
      </c>
      <c r="E194" s="16">
        <v>42250</v>
      </c>
      <c r="F194" s="16">
        <v>42369</v>
      </c>
      <c r="G194" s="13">
        <v>4768.6400000000003</v>
      </c>
      <c r="H194" s="16">
        <v>42369</v>
      </c>
      <c r="I194" s="13">
        <v>2509.33</v>
      </c>
      <c r="J194" s="13">
        <f t="shared" si="11"/>
        <v>3136.6624999999999</v>
      </c>
      <c r="K194" s="6"/>
    </row>
    <row r="195" spans="1:11" ht="24" x14ac:dyDescent="0.25">
      <c r="A195" s="3">
        <v>24</v>
      </c>
      <c r="B195" s="14" t="s">
        <v>234</v>
      </c>
      <c r="C195" s="15" t="str">
        <f>"UG-00734/15"</f>
        <v>UG-00734/15</v>
      </c>
      <c r="D195" s="15" t="str">
        <f t="shared" si="10"/>
        <v>INA INDUSTRIJA NAFTE D.D.</v>
      </c>
      <c r="E195" s="16">
        <v>42235</v>
      </c>
      <c r="F195" s="16">
        <v>42722</v>
      </c>
      <c r="G195" s="13">
        <v>36380</v>
      </c>
      <c r="H195" s="16">
        <v>42722</v>
      </c>
      <c r="I195" s="13">
        <v>3653</v>
      </c>
      <c r="J195" s="13">
        <f t="shared" si="11"/>
        <v>4566.25</v>
      </c>
      <c r="K195" s="6"/>
    </row>
    <row r="196" spans="1:11" ht="24" x14ac:dyDescent="0.25">
      <c r="A196" s="3">
        <v>25</v>
      </c>
      <c r="B196" s="14" t="s">
        <v>235</v>
      </c>
      <c r="C196" s="15" t="str">
        <f>"UG-00732/15"</f>
        <v>UG-00732/15</v>
      </c>
      <c r="D196" s="15" t="str">
        <f t="shared" si="10"/>
        <v>INA INDUSTRIJA NAFTE D.D.</v>
      </c>
      <c r="E196" s="16">
        <v>42240</v>
      </c>
      <c r="F196" s="16">
        <v>42722</v>
      </c>
      <c r="G196" s="13">
        <v>85337.600000000006</v>
      </c>
      <c r="H196" s="16">
        <v>42722</v>
      </c>
      <c r="I196" s="13">
        <v>24965</v>
      </c>
      <c r="J196" s="13">
        <f t="shared" si="11"/>
        <v>31206.25</v>
      </c>
      <c r="K196" s="6"/>
    </row>
    <row r="197" spans="1:11" ht="36" x14ac:dyDescent="0.25">
      <c r="A197" s="3">
        <v>26</v>
      </c>
      <c r="B197" s="14" t="s">
        <v>236</v>
      </c>
      <c r="C197" s="15" t="str">
        <f>"00699/15"</f>
        <v>00699/15</v>
      </c>
      <c r="D197" s="15" t="str">
        <f t="shared" si="10"/>
        <v>INA INDUSTRIJA NAFTE D.D.</v>
      </c>
      <c r="E197" s="16">
        <v>42164</v>
      </c>
      <c r="F197" s="16">
        <v>42723</v>
      </c>
      <c r="G197" s="13">
        <v>30000</v>
      </c>
      <c r="H197" s="16">
        <v>42723</v>
      </c>
      <c r="I197" s="13">
        <v>6786</v>
      </c>
      <c r="J197" s="13">
        <f t="shared" si="11"/>
        <v>8482.5</v>
      </c>
      <c r="K197" s="6"/>
    </row>
    <row r="198" spans="1:11" ht="24" x14ac:dyDescent="0.25">
      <c r="A198" s="3">
        <v>27</v>
      </c>
      <c r="B198" s="14" t="s">
        <v>237</v>
      </c>
      <c r="C198" s="15" t="str">
        <f>"UG-00652/15"</f>
        <v>UG-00652/15</v>
      </c>
      <c r="D198" s="15" t="str">
        <f t="shared" si="10"/>
        <v>INA INDUSTRIJA NAFTE D.D.</v>
      </c>
      <c r="E198" s="16">
        <v>42124</v>
      </c>
      <c r="F198" s="16">
        <v>42369</v>
      </c>
      <c r="G198" s="13">
        <v>50180.800000000003</v>
      </c>
      <c r="H198" s="16">
        <v>42369</v>
      </c>
      <c r="I198" s="13">
        <v>670.59</v>
      </c>
      <c r="J198" s="13">
        <f t="shared" si="11"/>
        <v>838.23750000000007</v>
      </c>
      <c r="K198" s="6"/>
    </row>
    <row r="199" spans="1:11" ht="24" x14ac:dyDescent="0.25">
      <c r="A199" s="3">
        <v>28</v>
      </c>
      <c r="B199" s="14" t="s">
        <v>168</v>
      </c>
      <c r="C199" s="15" t="str">
        <f>"UG-00678/15"</f>
        <v>UG-00678/15</v>
      </c>
      <c r="D199" s="15" t="str">
        <f t="shared" si="10"/>
        <v>INA INDUSTRIJA NAFTE D.D.</v>
      </c>
      <c r="E199" s="16">
        <v>42150</v>
      </c>
      <c r="F199" s="16">
        <v>42722</v>
      </c>
      <c r="G199" s="13">
        <v>157040</v>
      </c>
      <c r="H199" s="16">
        <v>42722</v>
      </c>
      <c r="I199" s="13">
        <v>50107.38</v>
      </c>
      <c r="J199" s="13">
        <f t="shared" si="11"/>
        <v>62634.224999999999</v>
      </c>
      <c r="K199" s="6"/>
    </row>
    <row r="200" spans="1:11" ht="24" x14ac:dyDescent="0.25">
      <c r="A200" s="3">
        <v>29</v>
      </c>
      <c r="B200" s="14" t="s">
        <v>58</v>
      </c>
      <c r="C200" s="15" t="str">
        <f>"UG-00649/15"</f>
        <v>UG-00649/15</v>
      </c>
      <c r="D200" s="15" t="str">
        <f t="shared" si="10"/>
        <v>INA INDUSTRIJA NAFTE D.D.</v>
      </c>
      <c r="E200" s="16">
        <v>42128</v>
      </c>
      <c r="F200" s="16">
        <v>42389</v>
      </c>
      <c r="G200" s="13">
        <v>135601.60000000001</v>
      </c>
      <c r="H200" s="16">
        <v>42389</v>
      </c>
      <c r="I200" s="13">
        <v>75755.22</v>
      </c>
      <c r="J200" s="13">
        <f t="shared" si="11"/>
        <v>94694.024999999994</v>
      </c>
      <c r="K200" s="6"/>
    </row>
    <row r="201" spans="1:11" ht="24" x14ac:dyDescent="0.25">
      <c r="A201" s="3">
        <v>30</v>
      </c>
      <c r="B201" s="14" t="s">
        <v>238</v>
      </c>
      <c r="C201" s="15" t="str">
        <f>"1/2015-1"</f>
        <v>1/2015-1</v>
      </c>
      <c r="D201" s="15" t="str">
        <f t="shared" si="10"/>
        <v>INA INDUSTRIJA NAFTE D.D.</v>
      </c>
      <c r="E201" s="16">
        <v>42149</v>
      </c>
      <c r="F201" s="16">
        <v>42723</v>
      </c>
      <c r="G201" s="13">
        <v>108417.92</v>
      </c>
      <c r="H201" s="16">
        <v>42723</v>
      </c>
      <c r="I201" s="13">
        <v>30155.39</v>
      </c>
      <c r="J201" s="13">
        <f t="shared" si="11"/>
        <v>37694.237500000003</v>
      </c>
      <c r="K201" s="6"/>
    </row>
    <row r="202" spans="1:11" ht="24" x14ac:dyDescent="0.25">
      <c r="A202" s="3">
        <v>31</v>
      </c>
      <c r="B202" s="14" t="s">
        <v>164</v>
      </c>
      <c r="C202" s="15" t="str">
        <f>"UG-00670/15"</f>
        <v>UG-00670/15</v>
      </c>
      <c r="D202" s="15" t="str">
        <f t="shared" si="10"/>
        <v>INA INDUSTRIJA NAFTE D.D.</v>
      </c>
      <c r="E202" s="16">
        <v>42142</v>
      </c>
      <c r="F202" s="16">
        <v>42369</v>
      </c>
      <c r="G202" s="13">
        <v>7107.2</v>
      </c>
      <c r="H202" s="16">
        <v>42369</v>
      </c>
      <c r="I202" s="13">
        <v>0</v>
      </c>
      <c r="J202" s="13">
        <f t="shared" si="11"/>
        <v>0</v>
      </c>
      <c r="K202" s="6"/>
    </row>
    <row r="203" spans="1:11" ht="24" x14ac:dyDescent="0.25">
      <c r="A203" s="3">
        <v>32</v>
      </c>
      <c r="B203" s="14" t="s">
        <v>166</v>
      </c>
      <c r="C203" s="15" t="str">
        <f>"UG-00641/15"</f>
        <v>UG-00641/15</v>
      </c>
      <c r="D203" s="15" t="str">
        <f t="shared" si="10"/>
        <v>INA INDUSTRIJA NAFTE D.D.</v>
      </c>
      <c r="E203" s="16">
        <v>42122</v>
      </c>
      <c r="F203" s="16">
        <v>42369</v>
      </c>
      <c r="G203" s="13">
        <v>43866.559999999998</v>
      </c>
      <c r="H203" s="16">
        <v>42369</v>
      </c>
      <c r="I203" s="13">
        <v>19642.810000000001</v>
      </c>
      <c r="J203" s="13">
        <f t="shared" si="11"/>
        <v>24553.512500000001</v>
      </c>
      <c r="K203" s="6"/>
    </row>
    <row r="204" spans="1:11" ht="24" x14ac:dyDescent="0.25">
      <c r="A204" s="3">
        <v>33</v>
      </c>
      <c r="B204" s="14" t="s">
        <v>239</v>
      </c>
      <c r="C204" s="15" t="str">
        <f>"UG-00658/15"</f>
        <v>UG-00658/15</v>
      </c>
      <c r="D204" s="15" t="str">
        <f t="shared" si="10"/>
        <v>INA INDUSTRIJA NAFTE D.D.</v>
      </c>
      <c r="E204" s="16">
        <v>42125</v>
      </c>
      <c r="F204" s="16">
        <v>42369</v>
      </c>
      <c r="G204" s="13">
        <v>2655</v>
      </c>
      <c r="H204" s="16">
        <v>42369</v>
      </c>
      <c r="I204" s="13">
        <v>0</v>
      </c>
      <c r="J204" s="13">
        <f t="shared" si="11"/>
        <v>0</v>
      </c>
      <c r="K204" s="6"/>
    </row>
    <row r="205" spans="1:11" ht="24" x14ac:dyDescent="0.25">
      <c r="A205" s="3">
        <v>34</v>
      </c>
      <c r="B205" s="14" t="s">
        <v>200</v>
      </c>
      <c r="C205" s="15" t="str">
        <f>"UG-00665/15"</f>
        <v>UG-00665/15</v>
      </c>
      <c r="D205" s="15" t="str">
        <f t="shared" si="10"/>
        <v>INA INDUSTRIJA NAFTE D.D.</v>
      </c>
      <c r="E205" s="16">
        <v>42149</v>
      </c>
      <c r="F205" s="16">
        <v>42369</v>
      </c>
      <c r="G205" s="13">
        <v>104129.60000000001</v>
      </c>
      <c r="H205" s="16">
        <v>42369</v>
      </c>
      <c r="I205" s="13">
        <v>113222.65</v>
      </c>
      <c r="J205" s="13">
        <f t="shared" si="11"/>
        <v>141528.3125</v>
      </c>
      <c r="K205" s="6"/>
    </row>
    <row r="206" spans="1:11" ht="24" x14ac:dyDescent="0.25">
      <c r="A206" s="3">
        <v>35</v>
      </c>
      <c r="B206" s="14" t="s">
        <v>41</v>
      </c>
      <c r="C206" s="15" t="str">
        <f>"6-DUSJN/15-I"</f>
        <v>6-DUSJN/15-I</v>
      </c>
      <c r="D206" s="15" t="str">
        <f t="shared" si="10"/>
        <v>INA INDUSTRIJA NAFTE D.D.</v>
      </c>
      <c r="E206" s="16">
        <v>42103</v>
      </c>
      <c r="F206" s="16">
        <v>42469</v>
      </c>
      <c r="G206" s="13">
        <v>226610.4</v>
      </c>
      <c r="H206" s="16">
        <v>42469</v>
      </c>
      <c r="I206" s="13">
        <v>181953.57</v>
      </c>
      <c r="J206" s="13">
        <f t="shared" si="11"/>
        <v>227441.96250000002</v>
      </c>
      <c r="K206" s="6"/>
    </row>
    <row r="207" spans="1:11" ht="36" x14ac:dyDescent="0.25">
      <c r="A207" s="3">
        <v>36</v>
      </c>
      <c r="B207" s="14" t="s">
        <v>129</v>
      </c>
      <c r="C207" s="15" t="str">
        <f>"UG-00629/15"</f>
        <v>UG-00629/15</v>
      </c>
      <c r="D207" s="15" t="str">
        <f t="shared" si="10"/>
        <v>INA INDUSTRIJA NAFTE D.D.</v>
      </c>
      <c r="E207" s="16">
        <v>42107</v>
      </c>
      <c r="F207" s="16">
        <v>42369</v>
      </c>
      <c r="G207" s="13">
        <v>3656</v>
      </c>
      <c r="H207" s="16">
        <v>42369</v>
      </c>
      <c r="I207" s="13">
        <v>0</v>
      </c>
      <c r="J207" s="13">
        <f t="shared" si="11"/>
        <v>0</v>
      </c>
      <c r="K207" s="6"/>
    </row>
    <row r="208" spans="1:11" ht="24" x14ac:dyDescent="0.25">
      <c r="A208" s="3">
        <v>37</v>
      </c>
      <c r="B208" s="14" t="s">
        <v>240</v>
      </c>
      <c r="C208" s="15" t="str">
        <f>"UG-00633/15"</f>
        <v>UG-00633/15</v>
      </c>
      <c r="D208" s="15" t="str">
        <f t="shared" si="10"/>
        <v>INA INDUSTRIJA NAFTE D.D.</v>
      </c>
      <c r="E208" s="16">
        <v>42122</v>
      </c>
      <c r="F208" s="16">
        <v>42369</v>
      </c>
      <c r="G208" s="13">
        <v>7048</v>
      </c>
      <c r="H208" s="16">
        <v>42369</v>
      </c>
      <c r="I208" s="13">
        <v>354.35</v>
      </c>
      <c r="J208" s="13">
        <f t="shared" si="11"/>
        <v>442.9375</v>
      </c>
      <c r="K208" s="6"/>
    </row>
    <row r="209" spans="1:11" ht="24" x14ac:dyDescent="0.25">
      <c r="A209" s="3">
        <v>38</v>
      </c>
      <c r="B209" s="14" t="s">
        <v>241</v>
      </c>
      <c r="C209" s="15" t="str">
        <f>"UG-00645/15"</f>
        <v>UG-00645/15</v>
      </c>
      <c r="D209" s="15" t="str">
        <f t="shared" si="10"/>
        <v>INA INDUSTRIJA NAFTE D.D.</v>
      </c>
      <c r="E209" s="16">
        <v>42117</v>
      </c>
      <c r="F209" s="16">
        <v>42369</v>
      </c>
      <c r="G209" s="13">
        <v>3497.6</v>
      </c>
      <c r="H209" s="16">
        <v>42369</v>
      </c>
      <c r="I209" s="13">
        <v>0</v>
      </c>
      <c r="J209" s="13">
        <f t="shared" si="11"/>
        <v>0</v>
      </c>
      <c r="K209" s="6"/>
    </row>
    <row r="210" spans="1:11" ht="36" x14ac:dyDescent="0.25">
      <c r="A210" s="3">
        <v>39</v>
      </c>
      <c r="B210" s="14" t="s">
        <v>242</v>
      </c>
      <c r="C210" s="15" t="str">
        <f>"UG-00616/15"</f>
        <v>UG-00616/15</v>
      </c>
      <c r="D210" s="15" t="str">
        <f t="shared" si="10"/>
        <v>INA INDUSTRIJA NAFTE D.D.</v>
      </c>
      <c r="E210" s="16">
        <v>42103</v>
      </c>
      <c r="F210" s="16">
        <v>42369</v>
      </c>
      <c r="G210" s="13">
        <v>45483.199999999997</v>
      </c>
      <c r="H210" s="16">
        <v>42369</v>
      </c>
      <c r="I210" s="13">
        <v>10517.19</v>
      </c>
      <c r="J210" s="13">
        <f t="shared" si="11"/>
        <v>13146.487500000001</v>
      </c>
      <c r="K210" s="6"/>
    </row>
    <row r="211" spans="1:11" ht="24" x14ac:dyDescent="0.25">
      <c r="A211" s="3">
        <v>40</v>
      </c>
      <c r="B211" s="14" t="s">
        <v>177</v>
      </c>
      <c r="C211" s="15" t="str">
        <f>"UG-00596/15"</f>
        <v>UG-00596/15</v>
      </c>
      <c r="D211" s="15" t="str">
        <f t="shared" si="10"/>
        <v>INA INDUSTRIJA NAFTE D.D.</v>
      </c>
      <c r="E211" s="16">
        <v>42103</v>
      </c>
      <c r="F211" s="16">
        <v>42369</v>
      </c>
      <c r="G211" s="13">
        <v>12995.2</v>
      </c>
      <c r="H211" s="16">
        <v>42369</v>
      </c>
      <c r="I211" s="13">
        <v>0</v>
      </c>
      <c r="J211" s="13">
        <f t="shared" si="11"/>
        <v>0</v>
      </c>
      <c r="K211" s="6"/>
    </row>
    <row r="212" spans="1:11" ht="24" x14ac:dyDescent="0.25">
      <c r="A212" s="3">
        <v>41</v>
      </c>
      <c r="B212" s="14" t="s">
        <v>243</v>
      </c>
      <c r="C212" s="15" t="str">
        <f>"UG-00643/15"</f>
        <v>UG-00643/15</v>
      </c>
      <c r="D212" s="15" t="str">
        <f t="shared" si="10"/>
        <v>INA INDUSTRIJA NAFTE D.D.</v>
      </c>
      <c r="E212" s="16">
        <v>42121</v>
      </c>
      <c r="F212" s="16">
        <v>42369</v>
      </c>
      <c r="G212" s="13">
        <v>20636</v>
      </c>
      <c r="H212" s="16">
        <v>42369</v>
      </c>
      <c r="I212" s="13">
        <v>912</v>
      </c>
      <c r="J212" s="13">
        <f t="shared" si="11"/>
        <v>1140</v>
      </c>
      <c r="K212" s="6"/>
    </row>
    <row r="213" spans="1:11" ht="24" x14ac:dyDescent="0.25">
      <c r="A213" s="3">
        <v>42</v>
      </c>
      <c r="B213" s="14" t="s">
        <v>178</v>
      </c>
      <c r="C213" s="15" t="str">
        <f>"UG-00618/15"</f>
        <v>UG-00618/15</v>
      </c>
      <c r="D213" s="15" t="str">
        <f t="shared" si="10"/>
        <v>INA INDUSTRIJA NAFTE D.D.</v>
      </c>
      <c r="E213" s="16">
        <v>42094</v>
      </c>
      <c r="F213" s="16">
        <v>42369</v>
      </c>
      <c r="G213" s="13">
        <v>0</v>
      </c>
      <c r="H213" s="16">
        <v>42369</v>
      </c>
      <c r="I213" s="13">
        <v>0</v>
      </c>
      <c r="J213" s="13">
        <f t="shared" si="11"/>
        <v>0</v>
      </c>
      <c r="K213" s="6"/>
    </row>
    <row r="214" spans="1:11" ht="24" x14ac:dyDescent="0.25">
      <c r="A214" s="3">
        <v>43</v>
      </c>
      <c r="B214" s="14" t="s">
        <v>244</v>
      </c>
      <c r="C214" s="15" t="str">
        <f>"UG-00609/15"</f>
        <v>UG-00609/15</v>
      </c>
      <c r="D214" s="15" t="str">
        <f t="shared" si="10"/>
        <v>INA INDUSTRIJA NAFTE D.D.</v>
      </c>
      <c r="E214" s="16">
        <v>42090</v>
      </c>
      <c r="F214" s="16">
        <v>42369</v>
      </c>
      <c r="G214" s="13">
        <v>2774.24</v>
      </c>
      <c r="H214" s="16">
        <v>42369</v>
      </c>
      <c r="I214" s="40">
        <v>0</v>
      </c>
      <c r="J214" s="40">
        <f t="shared" si="11"/>
        <v>0</v>
      </c>
      <c r="K214" s="6"/>
    </row>
    <row r="215" spans="1:11" ht="24" x14ac:dyDescent="0.25">
      <c r="A215" s="3">
        <v>44</v>
      </c>
      <c r="B215" s="14" t="s">
        <v>30</v>
      </c>
      <c r="C215" s="15" t="str">
        <f>"510/7-A-A-0012/15-90"</f>
        <v>510/7-A-A-0012/15-90</v>
      </c>
      <c r="D215" s="15" t="str">
        <f t="shared" si="10"/>
        <v>INA INDUSTRIJA NAFTE D.D.</v>
      </c>
      <c r="E215" s="16">
        <v>42090</v>
      </c>
      <c r="F215" s="16">
        <v>42369</v>
      </c>
      <c r="G215" s="13">
        <v>564553.6</v>
      </c>
      <c r="H215" s="16">
        <v>42369</v>
      </c>
      <c r="I215" s="13">
        <v>169977.83</v>
      </c>
      <c r="J215" s="13">
        <f t="shared" si="11"/>
        <v>212472.28749999998</v>
      </c>
      <c r="K215" s="6"/>
    </row>
    <row r="216" spans="1:11" ht="24" x14ac:dyDescent="0.25">
      <c r="A216" s="3">
        <v>45</v>
      </c>
      <c r="B216" s="14" t="s">
        <v>245</v>
      </c>
      <c r="C216" s="15" t="str">
        <f>"UG-00600/15"</f>
        <v>UG-00600/15</v>
      </c>
      <c r="D216" s="15" t="str">
        <f t="shared" si="10"/>
        <v>INA INDUSTRIJA NAFTE D.D.</v>
      </c>
      <c r="E216" s="16">
        <v>42082</v>
      </c>
      <c r="F216" s="16">
        <v>42369</v>
      </c>
      <c r="G216" s="13">
        <v>140779.20000000001</v>
      </c>
      <c r="H216" s="16">
        <v>42369</v>
      </c>
      <c r="I216" s="13">
        <v>44489.48</v>
      </c>
      <c r="J216" s="13">
        <f t="shared" si="11"/>
        <v>55611.850000000006</v>
      </c>
      <c r="K216" s="6"/>
    </row>
    <row r="217" spans="1:11" ht="24" x14ac:dyDescent="0.25">
      <c r="A217" s="3">
        <v>46</v>
      </c>
      <c r="B217" s="14" t="s">
        <v>246</v>
      </c>
      <c r="C217" s="15" t="str">
        <f>"UG-00545/15"</f>
        <v>UG-00545/15</v>
      </c>
      <c r="D217" s="15" t="str">
        <f t="shared" si="10"/>
        <v>INA INDUSTRIJA NAFTE D.D.</v>
      </c>
      <c r="E217" s="16">
        <v>42058</v>
      </c>
      <c r="F217" s="16">
        <v>42369</v>
      </c>
      <c r="G217" s="13">
        <v>146846.39999999999</v>
      </c>
      <c r="H217" s="16">
        <v>42369</v>
      </c>
      <c r="I217" s="13">
        <v>130102.41</v>
      </c>
      <c r="J217" s="13">
        <f t="shared" si="11"/>
        <v>162628.01250000001</v>
      </c>
      <c r="K217" s="6"/>
    </row>
    <row r="218" spans="1:11" ht="24" x14ac:dyDescent="0.25">
      <c r="A218" s="3">
        <v>47</v>
      </c>
      <c r="B218" s="14" t="s">
        <v>191</v>
      </c>
      <c r="C218" s="15" t="str">
        <f>"UG-00602/15"</f>
        <v>UG-00602/15</v>
      </c>
      <c r="D218" s="15" t="str">
        <f t="shared" si="10"/>
        <v>INA INDUSTRIJA NAFTE D.D.</v>
      </c>
      <c r="E218" s="16">
        <v>42064</v>
      </c>
      <c r="F218" s="16">
        <v>42369</v>
      </c>
      <c r="G218" s="13">
        <v>12873.6</v>
      </c>
      <c r="H218" s="16">
        <v>42369</v>
      </c>
      <c r="I218" s="13">
        <v>159.94</v>
      </c>
      <c r="J218" s="13">
        <f t="shared" si="11"/>
        <v>199.92500000000001</v>
      </c>
      <c r="K218" s="6"/>
    </row>
    <row r="219" spans="1:11" ht="24" x14ac:dyDescent="0.25">
      <c r="A219" s="3">
        <v>48</v>
      </c>
      <c r="B219" s="14" t="s">
        <v>247</v>
      </c>
      <c r="C219" s="15" t="str">
        <f>"UG-00568/15"</f>
        <v>UG-00568/15</v>
      </c>
      <c r="D219" s="15" t="str">
        <f t="shared" si="10"/>
        <v>INA INDUSTRIJA NAFTE D.D.</v>
      </c>
      <c r="E219" s="16">
        <v>42064</v>
      </c>
      <c r="F219" s="16">
        <v>42369</v>
      </c>
      <c r="G219" s="13">
        <v>4420.32</v>
      </c>
      <c r="H219" s="16">
        <v>42369</v>
      </c>
      <c r="I219" s="13">
        <v>0</v>
      </c>
      <c r="J219" s="13">
        <f t="shared" si="11"/>
        <v>0</v>
      </c>
      <c r="K219" s="6"/>
    </row>
    <row r="220" spans="1:11" ht="24" x14ac:dyDescent="0.25">
      <c r="A220" s="3">
        <v>49</v>
      </c>
      <c r="B220" s="14" t="s">
        <v>51</v>
      </c>
      <c r="C220" s="15" t="str">
        <f>"UG-00583/15"</f>
        <v>UG-00583/15</v>
      </c>
      <c r="D220" s="15" t="str">
        <f t="shared" si="10"/>
        <v>INA INDUSTRIJA NAFTE D.D.</v>
      </c>
      <c r="E220" s="16">
        <v>42064</v>
      </c>
      <c r="F220" s="16">
        <v>42369</v>
      </c>
      <c r="G220" s="13">
        <v>897096</v>
      </c>
      <c r="H220" s="16">
        <v>42369</v>
      </c>
      <c r="I220" s="13">
        <v>287807.01</v>
      </c>
      <c r="J220" s="13">
        <f t="shared" si="11"/>
        <v>359758.76250000001</v>
      </c>
      <c r="K220" s="6"/>
    </row>
    <row r="221" spans="1:11" ht="24" x14ac:dyDescent="0.25">
      <c r="A221" s="3">
        <v>50</v>
      </c>
      <c r="B221" s="14" t="s">
        <v>249</v>
      </c>
      <c r="C221" s="15" t="str">
        <f>"UG-00591/15"</f>
        <v>UG-00591/15</v>
      </c>
      <c r="D221" s="15" t="str">
        <f t="shared" ref="D221:D284" si="12">CONCATENATE("INA INDUSTRIJA NAFTE D.D.")</f>
        <v>INA INDUSTRIJA NAFTE D.D.</v>
      </c>
      <c r="E221" s="16">
        <v>42081</v>
      </c>
      <c r="F221" s="16">
        <v>42369</v>
      </c>
      <c r="G221" s="13">
        <v>387.6</v>
      </c>
      <c r="H221" s="16">
        <v>42369</v>
      </c>
      <c r="I221" s="13">
        <v>0</v>
      </c>
      <c r="J221" s="13">
        <f t="shared" si="11"/>
        <v>0</v>
      </c>
      <c r="K221" s="6"/>
    </row>
    <row r="222" spans="1:11" ht="24" x14ac:dyDescent="0.25">
      <c r="A222" s="3">
        <v>51</v>
      </c>
      <c r="B222" s="14" t="s">
        <v>250</v>
      </c>
      <c r="C222" s="15" t="str">
        <f>"UG-50000234-00162/15"</f>
        <v>UG-50000234-00162/15</v>
      </c>
      <c r="D222" s="15" t="str">
        <f t="shared" si="12"/>
        <v>INA INDUSTRIJA NAFTE D.D.</v>
      </c>
      <c r="E222" s="16">
        <v>42075</v>
      </c>
      <c r="F222" s="16">
        <v>42369</v>
      </c>
      <c r="G222" s="13">
        <v>3712</v>
      </c>
      <c r="H222" s="16">
        <v>42369</v>
      </c>
      <c r="I222" s="13">
        <v>220.74</v>
      </c>
      <c r="J222" s="13">
        <f t="shared" si="11"/>
        <v>275.92500000000001</v>
      </c>
      <c r="K222" s="6"/>
    </row>
    <row r="223" spans="1:11" ht="24" x14ac:dyDescent="0.25">
      <c r="A223" s="3">
        <v>52</v>
      </c>
      <c r="B223" s="14" t="s">
        <v>251</v>
      </c>
      <c r="C223" s="15" t="str">
        <f>"UG-00570/15"</f>
        <v>UG-00570/15</v>
      </c>
      <c r="D223" s="15" t="str">
        <f t="shared" si="12"/>
        <v>INA INDUSTRIJA NAFTE D.D.</v>
      </c>
      <c r="E223" s="16">
        <v>42064</v>
      </c>
      <c r="F223" s="16">
        <v>42369</v>
      </c>
      <c r="G223" s="13">
        <v>5721.6</v>
      </c>
      <c r="H223" s="16">
        <v>42369</v>
      </c>
      <c r="I223" s="13">
        <v>3920</v>
      </c>
      <c r="J223" s="13">
        <f t="shared" si="11"/>
        <v>4900</v>
      </c>
      <c r="K223" s="6"/>
    </row>
    <row r="224" spans="1:11" ht="24" x14ac:dyDescent="0.25">
      <c r="A224" s="3">
        <v>53</v>
      </c>
      <c r="B224" s="14" t="s">
        <v>248</v>
      </c>
      <c r="C224" s="15" t="str">
        <f>"UG-00525/15"</f>
        <v>UG-00525/15</v>
      </c>
      <c r="D224" s="15" t="str">
        <f t="shared" si="12"/>
        <v>INA INDUSTRIJA NAFTE D.D.</v>
      </c>
      <c r="E224" s="16">
        <v>42053</v>
      </c>
      <c r="F224" s="16">
        <v>42369</v>
      </c>
      <c r="G224" s="13">
        <v>27656.16</v>
      </c>
      <c r="H224" s="16">
        <v>42369</v>
      </c>
      <c r="I224" s="13">
        <v>14551.2</v>
      </c>
      <c r="J224" s="13">
        <f t="shared" si="11"/>
        <v>18189</v>
      </c>
      <c r="K224" s="6"/>
    </row>
    <row r="225" spans="1:11" ht="24" x14ac:dyDescent="0.25">
      <c r="A225" s="3">
        <v>54</v>
      </c>
      <c r="B225" s="14" t="s">
        <v>213</v>
      </c>
      <c r="C225" s="15" t="str">
        <f>"UG-00588/15"</f>
        <v>UG-00588/15</v>
      </c>
      <c r="D225" s="15" t="str">
        <f t="shared" si="12"/>
        <v>INA INDUSTRIJA NAFTE D.D.</v>
      </c>
      <c r="E225" s="16">
        <v>42082</v>
      </c>
      <c r="F225" s="16">
        <v>42369</v>
      </c>
      <c r="G225" s="13">
        <v>7349.36</v>
      </c>
      <c r="H225" s="16">
        <v>42369</v>
      </c>
      <c r="I225" s="13">
        <v>12499.38</v>
      </c>
      <c r="J225" s="13">
        <f t="shared" si="11"/>
        <v>15624.224999999999</v>
      </c>
      <c r="K225" s="6"/>
    </row>
    <row r="226" spans="1:11" ht="24" x14ac:dyDescent="0.25">
      <c r="A226" s="3">
        <v>55</v>
      </c>
      <c r="B226" s="14" t="s">
        <v>252</v>
      </c>
      <c r="C226" s="15" t="str">
        <f>"UG-00585/15"</f>
        <v>UG-00585/15</v>
      </c>
      <c r="D226" s="15" t="str">
        <f t="shared" si="12"/>
        <v>INA INDUSTRIJA NAFTE D.D.</v>
      </c>
      <c r="E226" s="16">
        <v>42079</v>
      </c>
      <c r="F226" s="16">
        <v>42369</v>
      </c>
      <c r="G226" s="13">
        <v>131124</v>
      </c>
      <c r="H226" s="16">
        <v>42369</v>
      </c>
      <c r="I226" s="13">
        <v>66240</v>
      </c>
      <c r="J226" s="13">
        <f t="shared" si="11"/>
        <v>82800</v>
      </c>
      <c r="K226" s="6"/>
    </row>
    <row r="227" spans="1:11" ht="36" x14ac:dyDescent="0.25">
      <c r="A227" s="3">
        <v>56</v>
      </c>
      <c r="B227" s="14" t="s">
        <v>181</v>
      </c>
      <c r="C227" s="15" t="str">
        <f>"UG-00562/15"</f>
        <v>UG-00562/15</v>
      </c>
      <c r="D227" s="15" t="str">
        <f t="shared" si="12"/>
        <v>INA INDUSTRIJA NAFTE D.D.</v>
      </c>
      <c r="E227" s="16">
        <v>42068</v>
      </c>
      <c r="F227" s="16">
        <v>42369</v>
      </c>
      <c r="G227" s="13">
        <v>14600.16</v>
      </c>
      <c r="H227" s="16">
        <v>42369</v>
      </c>
      <c r="I227" s="13">
        <v>19745.47</v>
      </c>
      <c r="J227" s="13">
        <f t="shared" si="11"/>
        <v>24681.837500000001</v>
      </c>
      <c r="K227" s="6"/>
    </row>
    <row r="228" spans="1:11" ht="24" x14ac:dyDescent="0.25">
      <c r="A228" s="3">
        <v>57</v>
      </c>
      <c r="B228" s="14" t="s">
        <v>33</v>
      </c>
      <c r="C228" s="15" t="str">
        <f>"UG-00449/15"</f>
        <v>UG-00449/15</v>
      </c>
      <c r="D228" s="15" t="str">
        <f t="shared" si="12"/>
        <v>INA INDUSTRIJA NAFTE D.D.</v>
      </c>
      <c r="E228" s="16">
        <v>42052</v>
      </c>
      <c r="F228" s="16">
        <v>42417</v>
      </c>
      <c r="G228" s="13">
        <v>481228</v>
      </c>
      <c r="H228" s="16">
        <v>42417</v>
      </c>
      <c r="I228" s="13">
        <v>1450357.97</v>
      </c>
      <c r="J228" s="13">
        <f t="shared" si="11"/>
        <v>1812947.4624999999</v>
      </c>
      <c r="K228" s="6"/>
    </row>
    <row r="229" spans="1:11" ht="24" x14ac:dyDescent="0.25">
      <c r="A229" s="3">
        <v>58</v>
      </c>
      <c r="B229" s="14" t="s">
        <v>42</v>
      </c>
      <c r="C229" s="15" t="str">
        <f>"UG-00502/15"</f>
        <v>UG-00502/15</v>
      </c>
      <c r="D229" s="15" t="str">
        <f t="shared" si="12"/>
        <v>INA INDUSTRIJA NAFTE D.D.</v>
      </c>
      <c r="E229" s="16">
        <v>42052</v>
      </c>
      <c r="F229" s="16">
        <v>42052</v>
      </c>
      <c r="G229" s="13">
        <v>2298256</v>
      </c>
      <c r="H229" s="16">
        <v>42052</v>
      </c>
      <c r="I229" s="13">
        <v>3532102.3</v>
      </c>
      <c r="J229" s="13">
        <f t="shared" si="11"/>
        <v>4415127.875</v>
      </c>
      <c r="K229" s="6"/>
    </row>
    <row r="230" spans="1:11" ht="24" x14ac:dyDescent="0.25">
      <c r="A230" s="3">
        <v>59</v>
      </c>
      <c r="B230" s="14" t="s">
        <v>29</v>
      </c>
      <c r="C230" s="15" t="str">
        <f>"UG-00458/15"</f>
        <v>UG-00458/15</v>
      </c>
      <c r="D230" s="15" t="str">
        <f t="shared" si="12"/>
        <v>INA INDUSTRIJA NAFTE D.D.</v>
      </c>
      <c r="E230" s="16">
        <v>42048</v>
      </c>
      <c r="F230" s="16">
        <v>42413</v>
      </c>
      <c r="G230" s="13">
        <v>154425.12</v>
      </c>
      <c r="H230" s="16">
        <v>42413</v>
      </c>
      <c r="I230" s="13">
        <v>152292.38</v>
      </c>
      <c r="J230" s="13">
        <f t="shared" si="11"/>
        <v>190365.47500000001</v>
      </c>
      <c r="K230" s="6"/>
    </row>
    <row r="231" spans="1:11" ht="24" x14ac:dyDescent="0.25">
      <c r="A231" s="3">
        <v>60</v>
      </c>
      <c r="B231" s="14" t="s">
        <v>253</v>
      </c>
      <c r="C231" s="15" t="str">
        <f>"UG-00533/15"</f>
        <v>UG-00533/15</v>
      </c>
      <c r="D231" s="15" t="str">
        <f t="shared" si="12"/>
        <v>INA INDUSTRIJA NAFTE D.D.</v>
      </c>
      <c r="E231" s="16">
        <v>42060</v>
      </c>
      <c r="F231" s="16">
        <v>42369</v>
      </c>
      <c r="G231" s="13">
        <v>0</v>
      </c>
      <c r="H231" s="16">
        <v>42369</v>
      </c>
      <c r="I231" s="13">
        <v>11721.44</v>
      </c>
      <c r="J231" s="13">
        <f t="shared" ref="J231:J292" si="13">I231*1.25</f>
        <v>14651.800000000001</v>
      </c>
      <c r="K231" s="6"/>
    </row>
    <row r="232" spans="1:11" ht="24" x14ac:dyDescent="0.25">
      <c r="A232" s="3">
        <v>61</v>
      </c>
      <c r="B232" s="14" t="s">
        <v>254</v>
      </c>
      <c r="C232" s="15" t="str">
        <f>"UG-00465/15"</f>
        <v>UG-00465/15</v>
      </c>
      <c r="D232" s="15" t="str">
        <f t="shared" si="12"/>
        <v>INA INDUSTRIJA NAFTE D.D.</v>
      </c>
      <c r="E232" s="16">
        <v>42039</v>
      </c>
      <c r="F232" s="16">
        <v>42735</v>
      </c>
      <c r="G232" s="13">
        <v>5263.36</v>
      </c>
      <c r="H232" s="16">
        <v>42735</v>
      </c>
      <c r="I232" s="13">
        <v>0</v>
      </c>
      <c r="J232" s="13">
        <f t="shared" si="13"/>
        <v>0</v>
      </c>
      <c r="K232" s="6"/>
    </row>
    <row r="233" spans="1:11" ht="24" x14ac:dyDescent="0.25">
      <c r="A233" s="3">
        <v>62</v>
      </c>
      <c r="B233" s="14" t="s">
        <v>255</v>
      </c>
      <c r="C233" s="15" t="str">
        <f>"UG-50000234-00050/15-1"</f>
        <v>UG-50000234-00050/15-1</v>
      </c>
      <c r="D233" s="15" t="str">
        <f t="shared" si="12"/>
        <v>INA INDUSTRIJA NAFTE D.D.</v>
      </c>
      <c r="E233" s="16">
        <v>42045</v>
      </c>
      <c r="F233" s="16">
        <v>42410</v>
      </c>
      <c r="G233" s="13">
        <v>208.7</v>
      </c>
      <c r="H233" s="16">
        <v>42410</v>
      </c>
      <c r="I233" s="13">
        <v>0</v>
      </c>
      <c r="J233" s="13">
        <f t="shared" si="13"/>
        <v>0</v>
      </c>
      <c r="K233" s="6"/>
    </row>
    <row r="234" spans="1:11" ht="24" x14ac:dyDescent="0.25">
      <c r="A234" s="3">
        <v>63</v>
      </c>
      <c r="B234" s="14" t="s">
        <v>60</v>
      </c>
      <c r="C234" s="15" t="str">
        <f>"UG-00489/15"</f>
        <v>UG-00489/15</v>
      </c>
      <c r="D234" s="15" t="str">
        <f t="shared" si="12"/>
        <v>INA INDUSTRIJA NAFTE D.D.</v>
      </c>
      <c r="E234" s="16">
        <v>42044</v>
      </c>
      <c r="F234" s="16">
        <v>42723</v>
      </c>
      <c r="G234" s="13">
        <v>13408.64</v>
      </c>
      <c r="H234" s="16">
        <v>42723</v>
      </c>
      <c r="I234" s="13">
        <v>5986</v>
      </c>
      <c r="J234" s="13">
        <f t="shared" si="13"/>
        <v>7482.5</v>
      </c>
      <c r="K234" s="6"/>
    </row>
    <row r="235" spans="1:11" ht="36" x14ac:dyDescent="0.25">
      <c r="A235" s="3">
        <v>64</v>
      </c>
      <c r="B235" s="14" t="s">
        <v>92</v>
      </c>
      <c r="C235" s="15" t="str">
        <f>"03/2015."</f>
        <v>03/2015.</v>
      </c>
      <c r="D235" s="15" t="str">
        <f t="shared" si="12"/>
        <v>INA INDUSTRIJA NAFTE D.D.</v>
      </c>
      <c r="E235" s="16">
        <v>42039</v>
      </c>
      <c r="F235" s="16">
        <v>42404</v>
      </c>
      <c r="G235" s="13">
        <v>172224.14</v>
      </c>
      <c r="H235" s="16">
        <v>42404</v>
      </c>
      <c r="I235" s="13">
        <v>93319.26</v>
      </c>
      <c r="J235" s="13">
        <f t="shared" si="13"/>
        <v>116649.075</v>
      </c>
      <c r="K235" s="6"/>
    </row>
    <row r="236" spans="1:11" ht="24" x14ac:dyDescent="0.25">
      <c r="A236" s="3">
        <v>65</v>
      </c>
      <c r="B236" s="14" t="s">
        <v>182</v>
      </c>
      <c r="C236" s="15" t="str">
        <f>"UG-50000234-00360/15"</f>
        <v>UG-50000234-00360/15</v>
      </c>
      <c r="D236" s="15" t="str">
        <f t="shared" si="12"/>
        <v>INA INDUSTRIJA NAFTE D.D.</v>
      </c>
      <c r="E236" s="16">
        <v>42046</v>
      </c>
      <c r="F236" s="16">
        <v>42369</v>
      </c>
      <c r="G236" s="13">
        <v>6956.8</v>
      </c>
      <c r="H236" s="16">
        <v>42369</v>
      </c>
      <c r="I236" s="13">
        <v>0</v>
      </c>
      <c r="J236" s="13">
        <f t="shared" si="13"/>
        <v>0</v>
      </c>
      <c r="K236" s="6"/>
    </row>
    <row r="237" spans="1:11" ht="24" x14ac:dyDescent="0.25">
      <c r="A237" s="3">
        <v>66</v>
      </c>
      <c r="B237" s="14" t="s">
        <v>199</v>
      </c>
      <c r="C237" s="15" t="str">
        <f>"UG-50000234-00418/15"</f>
        <v>UG-50000234-00418/15</v>
      </c>
      <c r="D237" s="15" t="str">
        <f t="shared" si="12"/>
        <v>INA INDUSTRIJA NAFTE D.D.</v>
      </c>
      <c r="E237" s="16">
        <v>42036</v>
      </c>
      <c r="F237" s="16">
        <v>42369</v>
      </c>
      <c r="G237" s="13">
        <v>6432</v>
      </c>
      <c r="H237" s="16">
        <v>42369</v>
      </c>
      <c r="I237" s="13">
        <v>0</v>
      </c>
      <c r="J237" s="13">
        <f t="shared" si="13"/>
        <v>0</v>
      </c>
      <c r="K237" s="6"/>
    </row>
    <row r="238" spans="1:11" ht="24" x14ac:dyDescent="0.25">
      <c r="A238" s="3">
        <v>67</v>
      </c>
      <c r="B238" s="14" t="s">
        <v>193</v>
      </c>
      <c r="C238" s="15" t="str">
        <f>"UG-50000234-00364/15"</f>
        <v>UG-50000234-00364/15</v>
      </c>
      <c r="D238" s="15" t="str">
        <f t="shared" si="12"/>
        <v>INA INDUSTRIJA NAFTE D.D.</v>
      </c>
      <c r="E238" s="16">
        <v>42025</v>
      </c>
      <c r="F238" s="16">
        <v>42720</v>
      </c>
      <c r="G238" s="13">
        <v>3172</v>
      </c>
      <c r="H238" s="16">
        <v>42720</v>
      </c>
      <c r="I238" s="13">
        <v>480.05</v>
      </c>
      <c r="J238" s="13">
        <f t="shared" si="13"/>
        <v>600.0625</v>
      </c>
      <c r="K238" s="6"/>
    </row>
    <row r="239" spans="1:11" ht="24" x14ac:dyDescent="0.25">
      <c r="A239" s="3">
        <v>68</v>
      </c>
      <c r="B239" s="14" t="s">
        <v>256</v>
      </c>
      <c r="C239" s="15" t="str">
        <f>"UG-50000234-00376/15"</f>
        <v>UG-50000234-00376/15</v>
      </c>
      <c r="D239" s="15" t="str">
        <f t="shared" si="12"/>
        <v>INA INDUSTRIJA NAFTE D.D.</v>
      </c>
      <c r="E239" s="16">
        <v>42031</v>
      </c>
      <c r="F239" s="16">
        <v>42369</v>
      </c>
      <c r="G239" s="13">
        <v>1485.4</v>
      </c>
      <c r="H239" s="16">
        <v>42369</v>
      </c>
      <c r="I239" s="13">
        <v>7241.33</v>
      </c>
      <c r="J239" s="13">
        <f t="shared" si="13"/>
        <v>9051.6625000000004</v>
      </c>
      <c r="K239" s="6"/>
    </row>
    <row r="240" spans="1:11" ht="24" x14ac:dyDescent="0.25">
      <c r="A240" s="3">
        <v>69</v>
      </c>
      <c r="B240" s="14" t="s">
        <v>257</v>
      </c>
      <c r="C240" s="15" t="str">
        <f>"UG-00513/15"</f>
        <v>UG-00513/15</v>
      </c>
      <c r="D240" s="15" t="str">
        <f t="shared" si="12"/>
        <v>INA INDUSTRIJA NAFTE D.D.</v>
      </c>
      <c r="E240" s="16">
        <v>42051</v>
      </c>
      <c r="F240" s="16">
        <v>42369</v>
      </c>
      <c r="G240" s="13">
        <v>4174.08</v>
      </c>
      <c r="H240" s="16">
        <v>42369</v>
      </c>
      <c r="I240" s="13">
        <v>0</v>
      </c>
      <c r="J240" s="13">
        <f t="shared" si="13"/>
        <v>0</v>
      </c>
      <c r="K240" s="6"/>
    </row>
    <row r="241" spans="1:11" ht="24" x14ac:dyDescent="0.25">
      <c r="A241" s="3">
        <v>70</v>
      </c>
      <c r="B241" s="14" t="s">
        <v>258</v>
      </c>
      <c r="C241" s="15" t="str">
        <f>"UG-50000234-00353/15"</f>
        <v>UG-50000234-00353/15</v>
      </c>
      <c r="D241" s="15" t="str">
        <f t="shared" si="12"/>
        <v>INA INDUSTRIJA NAFTE D.D.</v>
      </c>
      <c r="E241" s="16">
        <v>42030</v>
      </c>
      <c r="F241" s="16">
        <v>42369</v>
      </c>
      <c r="G241" s="13">
        <v>5359.6</v>
      </c>
      <c r="H241" s="16">
        <v>42369</v>
      </c>
      <c r="I241" s="13">
        <v>0</v>
      </c>
      <c r="J241" s="13">
        <f t="shared" si="13"/>
        <v>0</v>
      </c>
      <c r="K241" s="6"/>
    </row>
    <row r="242" spans="1:11" ht="24" x14ac:dyDescent="0.25">
      <c r="A242" s="3">
        <v>71</v>
      </c>
      <c r="B242" s="14" t="s">
        <v>259</v>
      </c>
      <c r="C242" s="15" t="str">
        <f>"UG-00506/15"</f>
        <v>UG-00506/15</v>
      </c>
      <c r="D242" s="15" t="str">
        <f t="shared" si="12"/>
        <v>INA INDUSTRIJA NAFTE D.D.</v>
      </c>
      <c r="E242" s="16">
        <v>42051</v>
      </c>
      <c r="F242" s="16">
        <v>42369</v>
      </c>
      <c r="G242" s="13">
        <v>695.68</v>
      </c>
      <c r="H242" s="16">
        <v>42369</v>
      </c>
      <c r="I242" s="13">
        <v>200</v>
      </c>
      <c r="J242" s="13">
        <f t="shared" si="13"/>
        <v>250</v>
      </c>
      <c r="K242" s="6"/>
    </row>
    <row r="243" spans="1:11" ht="24" x14ac:dyDescent="0.25">
      <c r="A243" s="3">
        <v>72</v>
      </c>
      <c r="B243" s="14" t="s">
        <v>68</v>
      </c>
      <c r="C243" s="15" t="str">
        <f>"UG-50000234-00349/15"</f>
        <v>UG-50000234-00349/15</v>
      </c>
      <c r="D243" s="15" t="str">
        <f t="shared" si="12"/>
        <v>INA INDUSTRIJA NAFTE D.D.</v>
      </c>
      <c r="E243" s="16">
        <v>42025</v>
      </c>
      <c r="F243" s="16">
        <v>42369</v>
      </c>
      <c r="G243" s="13">
        <v>10260</v>
      </c>
      <c r="H243" s="16">
        <v>42369</v>
      </c>
      <c r="I243" s="13">
        <v>7125.2</v>
      </c>
      <c r="J243" s="13">
        <f t="shared" si="13"/>
        <v>8906.5</v>
      </c>
      <c r="K243" s="6"/>
    </row>
    <row r="244" spans="1:11" ht="24" x14ac:dyDescent="0.25">
      <c r="A244" s="3">
        <v>73</v>
      </c>
      <c r="B244" s="14" t="s">
        <v>260</v>
      </c>
      <c r="C244" s="15" t="str">
        <f>"UG-00555/15"</f>
        <v>UG-00555/15</v>
      </c>
      <c r="D244" s="15" t="str">
        <f t="shared" si="12"/>
        <v>INA INDUSTRIJA NAFTE D.D.</v>
      </c>
      <c r="E244" s="16">
        <v>42036</v>
      </c>
      <c r="F244" s="16">
        <v>42369</v>
      </c>
      <c r="G244" s="13">
        <v>4000</v>
      </c>
      <c r="H244" s="16">
        <v>42369</v>
      </c>
      <c r="I244" s="13">
        <v>2675.29</v>
      </c>
      <c r="J244" s="13">
        <f t="shared" si="13"/>
        <v>3344.1125000000002</v>
      </c>
      <c r="K244" s="6"/>
    </row>
    <row r="245" spans="1:11" ht="24" x14ac:dyDescent="0.25">
      <c r="A245" s="3">
        <v>74</v>
      </c>
      <c r="B245" s="14" t="s">
        <v>44</v>
      </c>
      <c r="C245" s="15" t="str">
        <f>"4/2015-5"</f>
        <v>4/2015-5</v>
      </c>
      <c r="D245" s="15" t="str">
        <f t="shared" si="12"/>
        <v>INA INDUSTRIJA NAFTE D.D.</v>
      </c>
      <c r="E245" s="16">
        <v>42040</v>
      </c>
      <c r="F245" s="16">
        <v>42369</v>
      </c>
      <c r="G245" s="13">
        <v>358597.45</v>
      </c>
      <c r="H245" s="16">
        <v>42369</v>
      </c>
      <c r="I245" s="13">
        <v>167523.89000000001</v>
      </c>
      <c r="J245" s="13">
        <f t="shared" si="13"/>
        <v>209404.86250000002</v>
      </c>
      <c r="K245" s="6"/>
    </row>
    <row r="246" spans="1:11" ht="24" x14ac:dyDescent="0.25">
      <c r="A246" s="3">
        <v>75</v>
      </c>
      <c r="B246" s="14" t="s">
        <v>25</v>
      </c>
      <c r="C246" s="15" t="str">
        <f>"4/2014-122"</f>
        <v>4/2014-122</v>
      </c>
      <c r="D246" s="15" t="str">
        <f t="shared" si="12"/>
        <v>INA INDUSTRIJA NAFTE D.D.</v>
      </c>
      <c r="E246" s="16">
        <v>42055</v>
      </c>
      <c r="F246" s="16">
        <v>42369</v>
      </c>
      <c r="G246" s="13">
        <v>343252.8</v>
      </c>
      <c r="H246" s="16">
        <v>42369</v>
      </c>
      <c r="I246" s="13">
        <v>69816.899999999994</v>
      </c>
      <c r="J246" s="13">
        <f t="shared" si="13"/>
        <v>87271.125</v>
      </c>
      <c r="K246" s="6"/>
    </row>
    <row r="247" spans="1:11" ht="24" x14ac:dyDescent="0.25">
      <c r="A247" s="3">
        <v>76</v>
      </c>
      <c r="B247" s="14" t="s">
        <v>261</v>
      </c>
      <c r="C247" s="15" t="str">
        <f>"UG-00492/15"</f>
        <v>UG-00492/15</v>
      </c>
      <c r="D247" s="15" t="str">
        <f t="shared" si="12"/>
        <v>INA INDUSTRIJA NAFTE D.D.</v>
      </c>
      <c r="E247" s="16">
        <v>42045</v>
      </c>
      <c r="F247" s="16">
        <v>42722</v>
      </c>
      <c r="G247" s="13">
        <v>21851.84</v>
      </c>
      <c r="H247" s="16">
        <v>42722</v>
      </c>
      <c r="I247" s="13">
        <v>4052.62</v>
      </c>
      <c r="J247" s="13">
        <f t="shared" si="13"/>
        <v>5065.7749999999996</v>
      </c>
      <c r="K247" s="6"/>
    </row>
    <row r="248" spans="1:11" ht="24" x14ac:dyDescent="0.25">
      <c r="A248" s="3">
        <v>77</v>
      </c>
      <c r="B248" s="14" t="s">
        <v>262</v>
      </c>
      <c r="C248" s="15" t="str">
        <f>"UG-00521/15"</f>
        <v>UG-00521/15</v>
      </c>
      <c r="D248" s="15" t="str">
        <f t="shared" si="12"/>
        <v>INA INDUSTRIJA NAFTE D.D.</v>
      </c>
      <c r="E248" s="16">
        <v>42034</v>
      </c>
      <c r="F248" s="16">
        <v>42369</v>
      </c>
      <c r="G248" s="13">
        <v>1307.1500000000001</v>
      </c>
      <c r="H248" s="16">
        <v>42369</v>
      </c>
      <c r="I248" s="13">
        <v>0</v>
      </c>
      <c r="J248" s="13">
        <f t="shared" si="13"/>
        <v>0</v>
      </c>
      <c r="K248" s="6"/>
    </row>
    <row r="249" spans="1:11" ht="24" x14ac:dyDescent="0.25">
      <c r="A249" s="3">
        <v>78</v>
      </c>
      <c r="B249" s="14" t="s">
        <v>263</v>
      </c>
      <c r="C249" s="15" t="str">
        <f>"UG-50000234-00267/15"</f>
        <v>UG-50000234-00267/15</v>
      </c>
      <c r="D249" s="15" t="str">
        <f t="shared" si="12"/>
        <v>INA INDUSTRIJA NAFTE D.D.</v>
      </c>
      <c r="E249" s="16">
        <v>42034</v>
      </c>
      <c r="F249" s="16">
        <v>42400</v>
      </c>
      <c r="G249" s="13">
        <v>3216</v>
      </c>
      <c r="H249" s="16">
        <v>42400</v>
      </c>
      <c r="I249" s="13">
        <v>5477.74</v>
      </c>
      <c r="J249" s="13">
        <f t="shared" si="13"/>
        <v>6847.1749999999993</v>
      </c>
      <c r="K249" s="6"/>
    </row>
    <row r="250" spans="1:11" ht="24" x14ac:dyDescent="0.25">
      <c r="A250" s="3">
        <v>79</v>
      </c>
      <c r="B250" s="14" t="s">
        <v>96</v>
      </c>
      <c r="C250" s="15" t="str">
        <f>"UG-00452/15"</f>
        <v>UG-00452/15</v>
      </c>
      <c r="D250" s="15" t="str">
        <f t="shared" si="12"/>
        <v>INA INDUSTRIJA NAFTE D.D.</v>
      </c>
      <c r="E250" s="16">
        <v>42044</v>
      </c>
      <c r="F250" s="16">
        <v>42369</v>
      </c>
      <c r="G250" s="13">
        <v>48958</v>
      </c>
      <c r="H250" s="16">
        <v>42369</v>
      </c>
      <c r="I250" s="13">
        <v>16832.57</v>
      </c>
      <c r="J250" s="13">
        <f t="shared" si="13"/>
        <v>21040.712500000001</v>
      </c>
      <c r="K250" s="6"/>
    </row>
    <row r="251" spans="1:11" ht="24" x14ac:dyDescent="0.25">
      <c r="A251" s="3">
        <v>80</v>
      </c>
      <c r="B251" s="14" t="s">
        <v>264</v>
      </c>
      <c r="C251" s="15" t="str">
        <f>"UG-00523/15"</f>
        <v>UG-00523/15</v>
      </c>
      <c r="D251" s="15" t="str">
        <f t="shared" si="12"/>
        <v>INA INDUSTRIJA NAFTE D.D.</v>
      </c>
      <c r="E251" s="16">
        <v>42051</v>
      </c>
      <c r="F251" s="16">
        <v>42369</v>
      </c>
      <c r="G251" s="13">
        <v>2274.5700000000002</v>
      </c>
      <c r="H251" s="16">
        <v>42369</v>
      </c>
      <c r="I251" s="13">
        <v>2916.6</v>
      </c>
      <c r="J251" s="13">
        <f t="shared" si="13"/>
        <v>3645.75</v>
      </c>
      <c r="K251" s="6"/>
    </row>
    <row r="252" spans="1:11" ht="24" x14ac:dyDescent="0.25">
      <c r="A252" s="3">
        <v>81</v>
      </c>
      <c r="B252" s="14" t="s">
        <v>217</v>
      </c>
      <c r="C252" s="15" t="str">
        <f>"UG-00330/15"</f>
        <v>UG-00330/15</v>
      </c>
      <c r="D252" s="15" t="str">
        <f t="shared" si="12"/>
        <v>INA INDUSTRIJA NAFTE D.D.</v>
      </c>
      <c r="E252" s="16">
        <v>42069</v>
      </c>
      <c r="F252" s="16">
        <v>42722</v>
      </c>
      <c r="G252" s="13">
        <v>20514.64</v>
      </c>
      <c r="H252" s="16">
        <v>42722</v>
      </c>
      <c r="I252" s="13">
        <v>5198.3100000000004</v>
      </c>
      <c r="J252" s="13">
        <f t="shared" si="13"/>
        <v>6497.8875000000007</v>
      </c>
      <c r="K252" s="6"/>
    </row>
    <row r="253" spans="1:11" ht="24" x14ac:dyDescent="0.25">
      <c r="A253" s="3">
        <v>82</v>
      </c>
      <c r="B253" s="14" t="s">
        <v>265</v>
      </c>
      <c r="C253" s="15" t="str">
        <f>"UG-00485/15"</f>
        <v>UG-00485/15</v>
      </c>
      <c r="D253" s="15" t="str">
        <f t="shared" si="12"/>
        <v>INA INDUSTRIJA NAFTE D.D.</v>
      </c>
      <c r="E253" s="16">
        <v>42034</v>
      </c>
      <c r="F253" s="16">
        <v>42369</v>
      </c>
      <c r="G253" s="13">
        <v>0</v>
      </c>
      <c r="H253" s="16">
        <v>42369</v>
      </c>
      <c r="I253" s="13">
        <v>6584</v>
      </c>
      <c r="J253" s="13">
        <f t="shared" si="13"/>
        <v>8230</v>
      </c>
      <c r="K253" s="6"/>
    </row>
    <row r="254" spans="1:11" ht="36" x14ac:dyDescent="0.25">
      <c r="A254" s="3">
        <v>83</v>
      </c>
      <c r="B254" s="14" t="s">
        <v>266</v>
      </c>
      <c r="C254" s="15" t="str">
        <f>"UG-00483/15"</f>
        <v>UG-00483/15</v>
      </c>
      <c r="D254" s="15" t="str">
        <f t="shared" si="12"/>
        <v>INA INDUSTRIJA NAFTE D.D.</v>
      </c>
      <c r="E254" s="16">
        <v>42053</v>
      </c>
      <c r="F254" s="16">
        <v>42722</v>
      </c>
      <c r="G254" s="13">
        <v>1316.96</v>
      </c>
      <c r="H254" s="16">
        <v>42722</v>
      </c>
      <c r="I254" s="13">
        <v>409.06</v>
      </c>
      <c r="J254" s="13">
        <f t="shared" si="13"/>
        <v>511.32499999999999</v>
      </c>
      <c r="K254" s="6"/>
    </row>
    <row r="255" spans="1:11" ht="24" x14ac:dyDescent="0.25">
      <c r="A255" s="3">
        <v>84</v>
      </c>
      <c r="B255" s="14" t="s">
        <v>267</v>
      </c>
      <c r="C255" s="15" t="str">
        <f>"UG-50000234-00338/15"</f>
        <v>UG-50000234-00338/15</v>
      </c>
      <c r="D255" s="15" t="str">
        <f t="shared" si="12"/>
        <v>INA INDUSTRIJA NAFTE D.D.</v>
      </c>
      <c r="E255" s="16">
        <v>42045</v>
      </c>
      <c r="F255" s="16">
        <v>42369</v>
      </c>
      <c r="G255" s="13">
        <v>12808</v>
      </c>
      <c r="H255" s="16">
        <v>42369</v>
      </c>
      <c r="I255" s="13">
        <v>15057.83</v>
      </c>
      <c r="J255" s="13">
        <f t="shared" si="13"/>
        <v>18822.287499999999</v>
      </c>
      <c r="K255" s="6"/>
    </row>
    <row r="256" spans="1:11" ht="24" x14ac:dyDescent="0.25">
      <c r="A256" s="3">
        <v>85</v>
      </c>
      <c r="B256" s="14" t="s">
        <v>65</v>
      </c>
      <c r="C256" s="15" t="str">
        <f>"UG-00530/15"</f>
        <v>UG-00530/15</v>
      </c>
      <c r="D256" s="15" t="str">
        <f t="shared" si="12"/>
        <v>INA INDUSTRIJA NAFTE D.D.</v>
      </c>
      <c r="E256" s="16">
        <v>42036</v>
      </c>
      <c r="F256" s="16">
        <v>42369</v>
      </c>
      <c r="G256" s="13">
        <v>773179.2</v>
      </c>
      <c r="H256" s="16">
        <v>42369</v>
      </c>
      <c r="I256" s="13">
        <v>87416.49</v>
      </c>
      <c r="J256" s="13">
        <f t="shared" si="13"/>
        <v>109270.6125</v>
      </c>
      <c r="K256" s="6"/>
    </row>
    <row r="257" spans="1:11" ht="24" x14ac:dyDescent="0.25">
      <c r="A257" s="3">
        <v>86</v>
      </c>
      <c r="B257" s="14" t="s">
        <v>268</v>
      </c>
      <c r="C257" s="15" t="str">
        <f>"UG-00434/15"</f>
        <v>UG-00434/15</v>
      </c>
      <c r="D257" s="15" t="str">
        <f t="shared" si="12"/>
        <v>INA INDUSTRIJA NAFTE D.D.</v>
      </c>
      <c r="E257" s="16">
        <v>42037</v>
      </c>
      <c r="F257" s="16">
        <v>42369</v>
      </c>
      <c r="G257" s="13">
        <v>9455.0400000000009</v>
      </c>
      <c r="H257" s="16">
        <v>42369</v>
      </c>
      <c r="I257" s="13">
        <v>2799.84</v>
      </c>
      <c r="J257" s="13">
        <f t="shared" si="13"/>
        <v>3499.8</v>
      </c>
      <c r="K257" s="6"/>
    </row>
    <row r="258" spans="1:11" ht="24" x14ac:dyDescent="0.25">
      <c r="A258" s="3">
        <v>87</v>
      </c>
      <c r="B258" s="14" t="s">
        <v>269</v>
      </c>
      <c r="C258" s="15" t="str">
        <f>"UG-00542/15"</f>
        <v>UG-00542/15</v>
      </c>
      <c r="D258" s="15" t="str">
        <f t="shared" si="12"/>
        <v>INA INDUSTRIJA NAFTE D.D.</v>
      </c>
      <c r="E258" s="16">
        <v>42054</v>
      </c>
      <c r="F258" s="16">
        <v>42369</v>
      </c>
      <c r="G258" s="13">
        <v>3292.4</v>
      </c>
      <c r="H258" s="16">
        <v>42369</v>
      </c>
      <c r="I258" s="13">
        <v>1828.16</v>
      </c>
      <c r="J258" s="13">
        <f t="shared" si="13"/>
        <v>2285.2000000000003</v>
      </c>
      <c r="K258" s="6"/>
    </row>
    <row r="259" spans="1:11" ht="24" x14ac:dyDescent="0.25">
      <c r="A259" s="3">
        <v>88</v>
      </c>
      <c r="B259" s="14" t="s">
        <v>270</v>
      </c>
      <c r="C259" s="15" t="str">
        <f>"UG-00436/15"</f>
        <v>UG-00436/15</v>
      </c>
      <c r="D259" s="15" t="str">
        <f t="shared" si="12"/>
        <v>INA INDUSTRIJA NAFTE D.D.</v>
      </c>
      <c r="E259" s="16">
        <v>42039</v>
      </c>
      <c r="F259" s="16">
        <v>42722</v>
      </c>
      <c r="G259" s="13">
        <v>13158.4</v>
      </c>
      <c r="H259" s="16">
        <v>42722</v>
      </c>
      <c r="I259" s="13">
        <v>2288.9499999999998</v>
      </c>
      <c r="J259" s="13">
        <f t="shared" si="13"/>
        <v>2861.1875</v>
      </c>
      <c r="K259" s="6"/>
    </row>
    <row r="260" spans="1:11" ht="24" x14ac:dyDescent="0.25">
      <c r="A260" s="3">
        <v>89</v>
      </c>
      <c r="B260" s="14" t="s">
        <v>271</v>
      </c>
      <c r="C260" s="15" t="str">
        <f>"UG-00511/15"</f>
        <v>UG-00511/15</v>
      </c>
      <c r="D260" s="15" t="str">
        <f t="shared" si="12"/>
        <v>INA INDUSTRIJA NAFTE D.D.</v>
      </c>
      <c r="E260" s="16">
        <v>42048</v>
      </c>
      <c r="F260" s="16">
        <v>42369</v>
      </c>
      <c r="G260" s="13">
        <v>3478.4</v>
      </c>
      <c r="H260" s="16">
        <v>42369</v>
      </c>
      <c r="I260" s="13">
        <v>1056.47</v>
      </c>
      <c r="J260" s="13">
        <f t="shared" si="13"/>
        <v>1320.5875000000001</v>
      </c>
      <c r="K260" s="6"/>
    </row>
    <row r="261" spans="1:11" ht="24" x14ac:dyDescent="0.25">
      <c r="A261" s="3">
        <v>90</v>
      </c>
      <c r="B261" s="14" t="s">
        <v>272</v>
      </c>
      <c r="C261" s="15" t="str">
        <f>"UG-50000234-00370/15"</f>
        <v>UG-50000234-00370/15</v>
      </c>
      <c r="D261" s="15" t="str">
        <f t="shared" si="12"/>
        <v>INA INDUSTRIJA NAFTE D.D.</v>
      </c>
      <c r="E261" s="16">
        <v>42030</v>
      </c>
      <c r="F261" s="16">
        <v>42369</v>
      </c>
      <c r="G261" s="13">
        <v>4090.8</v>
      </c>
      <c r="H261" s="16">
        <v>42369</v>
      </c>
      <c r="I261" s="40">
        <v>0</v>
      </c>
      <c r="J261" s="40">
        <f t="shared" si="13"/>
        <v>0</v>
      </c>
      <c r="K261" s="6"/>
    </row>
    <row r="262" spans="1:11" ht="24" x14ac:dyDescent="0.25">
      <c r="A262" s="3">
        <v>91</v>
      </c>
      <c r="B262" s="14" t="s">
        <v>273</v>
      </c>
      <c r="C262" s="15" t="str">
        <f>"UG-50000234-00414/15"</f>
        <v>UG-50000234-00414/15</v>
      </c>
      <c r="D262" s="15" t="str">
        <f t="shared" si="12"/>
        <v>INA INDUSTRIJA NAFTE D.D.</v>
      </c>
      <c r="E262" s="16">
        <v>42032</v>
      </c>
      <c r="F262" s="16">
        <v>42369</v>
      </c>
      <c r="G262" s="13">
        <v>25089.599999999999</v>
      </c>
      <c r="H262" s="16">
        <v>42369</v>
      </c>
      <c r="I262" s="13">
        <v>1050.79</v>
      </c>
      <c r="J262" s="13">
        <f t="shared" si="13"/>
        <v>1313.4875</v>
      </c>
      <c r="K262" s="6"/>
    </row>
    <row r="263" spans="1:11" ht="24" x14ac:dyDescent="0.25">
      <c r="A263" s="3">
        <v>92</v>
      </c>
      <c r="B263" s="14" t="s">
        <v>274</v>
      </c>
      <c r="C263" s="15" t="str">
        <f>"UG-00548/15"</f>
        <v>UG-00548/15</v>
      </c>
      <c r="D263" s="15" t="str">
        <f t="shared" si="12"/>
        <v>INA INDUSTRIJA NAFTE D.D.</v>
      </c>
      <c r="E263" s="16">
        <v>42059</v>
      </c>
      <c r="F263" s="16">
        <v>42722</v>
      </c>
      <c r="G263" s="13">
        <v>15442.8</v>
      </c>
      <c r="H263" s="16">
        <v>42722</v>
      </c>
      <c r="I263" s="13">
        <v>229.42</v>
      </c>
      <c r="J263" s="13">
        <f t="shared" si="13"/>
        <v>286.77499999999998</v>
      </c>
      <c r="K263" s="6"/>
    </row>
    <row r="264" spans="1:11" ht="24" x14ac:dyDescent="0.25">
      <c r="A264" s="3">
        <v>93</v>
      </c>
      <c r="B264" s="14" t="s">
        <v>275</v>
      </c>
      <c r="C264" s="15" t="str">
        <f>"UG-00400/14"</f>
        <v>UG-00400/14</v>
      </c>
      <c r="D264" s="15" t="str">
        <f t="shared" si="12"/>
        <v>INA INDUSTRIJA NAFTE D.D.</v>
      </c>
      <c r="E264" s="16">
        <v>42040</v>
      </c>
      <c r="F264" s="16">
        <v>42369</v>
      </c>
      <c r="G264" s="13">
        <v>7753.92</v>
      </c>
      <c r="H264" s="16">
        <v>42369</v>
      </c>
      <c r="I264" s="13">
        <v>624.77</v>
      </c>
      <c r="J264" s="13">
        <f t="shared" si="13"/>
        <v>780.96249999999998</v>
      </c>
      <c r="K264" s="6"/>
    </row>
    <row r="265" spans="1:11" ht="24" x14ac:dyDescent="0.25">
      <c r="A265" s="3">
        <v>94</v>
      </c>
      <c r="B265" s="14" t="s">
        <v>276</v>
      </c>
      <c r="C265" s="15" t="str">
        <f>"UG-00456/15"</f>
        <v>UG-00456/15</v>
      </c>
      <c r="D265" s="15" t="str">
        <f t="shared" si="12"/>
        <v>INA INDUSTRIJA NAFTE D.D.</v>
      </c>
      <c r="E265" s="16">
        <v>42034</v>
      </c>
      <c r="F265" s="16">
        <v>42369</v>
      </c>
      <c r="G265" s="13">
        <v>27265.279999999999</v>
      </c>
      <c r="H265" s="16">
        <v>42369</v>
      </c>
      <c r="I265" s="13">
        <v>3956355</v>
      </c>
      <c r="J265" s="13">
        <f t="shared" si="13"/>
        <v>4945443.75</v>
      </c>
      <c r="K265" s="6"/>
    </row>
    <row r="266" spans="1:11" ht="24" x14ac:dyDescent="0.25">
      <c r="A266" s="3">
        <v>95</v>
      </c>
      <c r="B266" s="14" t="s">
        <v>277</v>
      </c>
      <c r="C266" s="15" t="str">
        <f>"UG-00491/15"</f>
        <v>UG-00491/15</v>
      </c>
      <c r="D266" s="15" t="str">
        <f t="shared" si="12"/>
        <v>INA INDUSTRIJA NAFTE D.D.</v>
      </c>
      <c r="E266" s="16">
        <v>42024</v>
      </c>
      <c r="F266" s="16">
        <v>42735</v>
      </c>
      <c r="G266" s="13">
        <v>253760</v>
      </c>
      <c r="H266" s="16">
        <v>42735</v>
      </c>
      <c r="I266" s="13">
        <v>14343.09</v>
      </c>
      <c r="J266" s="13">
        <f t="shared" si="13"/>
        <v>17928.862499999999</v>
      </c>
      <c r="K266" s="6"/>
    </row>
    <row r="267" spans="1:11" ht="24" x14ac:dyDescent="0.25">
      <c r="A267" s="3">
        <v>96</v>
      </c>
      <c r="B267" s="14" t="s">
        <v>278</v>
      </c>
      <c r="C267" s="15" t="str">
        <f>"UG-00509/15"</f>
        <v>UG-00509/15</v>
      </c>
      <c r="D267" s="15" t="str">
        <f t="shared" si="12"/>
        <v>INA INDUSTRIJA NAFTE D.D.</v>
      </c>
      <c r="E267" s="16">
        <v>42048</v>
      </c>
      <c r="F267" s="16">
        <v>42369</v>
      </c>
      <c r="G267" s="13">
        <v>6956.8</v>
      </c>
      <c r="H267" s="16">
        <v>42369</v>
      </c>
      <c r="I267" s="13">
        <v>0</v>
      </c>
      <c r="J267" s="13">
        <f t="shared" si="13"/>
        <v>0</v>
      </c>
      <c r="K267" s="6"/>
    </row>
    <row r="268" spans="1:11" ht="36" x14ac:dyDescent="0.25">
      <c r="A268" s="3">
        <v>97</v>
      </c>
      <c r="B268" s="14" t="s">
        <v>34</v>
      </c>
      <c r="C268" s="15" t="str">
        <f>"03/UZOP/2015"</f>
        <v>03/UZOP/2015</v>
      </c>
      <c r="D268" s="15" t="str">
        <f t="shared" si="12"/>
        <v>INA INDUSTRIJA NAFTE D.D.</v>
      </c>
      <c r="E268" s="16">
        <v>42027</v>
      </c>
      <c r="F268" s="16">
        <v>42369</v>
      </c>
      <c r="G268" s="13">
        <v>633347.83999999997</v>
      </c>
      <c r="H268" s="16">
        <v>42369</v>
      </c>
      <c r="I268" s="13">
        <v>433796.74</v>
      </c>
      <c r="J268" s="13">
        <f t="shared" si="13"/>
        <v>542245.92500000005</v>
      </c>
      <c r="K268" s="6"/>
    </row>
    <row r="269" spans="1:11" ht="24" x14ac:dyDescent="0.25">
      <c r="A269" s="3">
        <v>98</v>
      </c>
      <c r="B269" s="14" t="s">
        <v>220</v>
      </c>
      <c r="C269" s="15" t="str">
        <f>"UG-50000234-00227/15"</f>
        <v>UG-50000234-00227/15</v>
      </c>
      <c r="D269" s="15" t="str">
        <f t="shared" si="12"/>
        <v>INA INDUSTRIJA NAFTE D.D.</v>
      </c>
      <c r="E269" s="16">
        <v>42027</v>
      </c>
      <c r="F269" s="16">
        <v>42723</v>
      </c>
      <c r="G269" s="13">
        <v>129568</v>
      </c>
      <c r="H269" s="16">
        <v>42723</v>
      </c>
      <c r="I269" s="13">
        <v>27265.77</v>
      </c>
      <c r="J269" s="13">
        <f t="shared" si="13"/>
        <v>34082.212500000001</v>
      </c>
      <c r="K269" s="6"/>
    </row>
    <row r="270" spans="1:11" ht="24" x14ac:dyDescent="0.25">
      <c r="A270" s="3">
        <v>99</v>
      </c>
      <c r="B270" s="14" t="s">
        <v>279</v>
      </c>
      <c r="C270" s="15" t="str">
        <f>"UG-50000234-00126/15"</f>
        <v>UG-50000234-00126/15</v>
      </c>
      <c r="D270" s="15" t="str">
        <f t="shared" si="12"/>
        <v>INA INDUSTRIJA NAFTE D.D.</v>
      </c>
      <c r="E270" s="16">
        <v>42024</v>
      </c>
      <c r="F270" s="16">
        <v>42722</v>
      </c>
      <c r="G270" s="13">
        <v>2537.6</v>
      </c>
      <c r="H270" s="16">
        <v>42722</v>
      </c>
      <c r="I270" s="13">
        <v>0</v>
      </c>
      <c r="J270" s="13">
        <f t="shared" si="13"/>
        <v>0</v>
      </c>
      <c r="K270" s="6"/>
    </row>
    <row r="271" spans="1:11" ht="24" x14ac:dyDescent="0.25">
      <c r="A271" s="3">
        <v>100</v>
      </c>
      <c r="B271" s="14" t="s">
        <v>169</v>
      </c>
      <c r="C271" s="15" t="str">
        <f>"UG-50000234-00124/15"</f>
        <v>UG-50000234-00124/15</v>
      </c>
      <c r="D271" s="15" t="str">
        <f t="shared" si="12"/>
        <v>INA INDUSTRIJA NAFTE D.D.</v>
      </c>
      <c r="E271" s="16">
        <v>42019</v>
      </c>
      <c r="F271" s="16">
        <v>42369</v>
      </c>
      <c r="G271" s="13">
        <v>2555.52</v>
      </c>
      <c r="H271" s="16">
        <v>42369</v>
      </c>
      <c r="I271" s="13">
        <v>1091.8399999999999</v>
      </c>
      <c r="J271" s="13">
        <f t="shared" si="13"/>
        <v>1364.8</v>
      </c>
      <c r="K271" s="6"/>
    </row>
    <row r="272" spans="1:11" ht="24" x14ac:dyDescent="0.25">
      <c r="A272" s="3">
        <v>101</v>
      </c>
      <c r="B272" s="14" t="s">
        <v>280</v>
      </c>
      <c r="C272" s="15" t="str">
        <f>"UG-00392/15"</f>
        <v>UG-00392/15</v>
      </c>
      <c r="D272" s="15" t="str">
        <f t="shared" si="12"/>
        <v>INA INDUSTRIJA NAFTE D.D.</v>
      </c>
      <c r="E272" s="16">
        <v>42011</v>
      </c>
      <c r="F272" s="16">
        <v>42720</v>
      </c>
      <c r="G272" s="13">
        <v>19536</v>
      </c>
      <c r="H272" s="16">
        <v>42720</v>
      </c>
      <c r="I272" s="13">
        <v>0</v>
      </c>
      <c r="J272" s="13">
        <f t="shared" si="13"/>
        <v>0</v>
      </c>
      <c r="K272" s="6"/>
    </row>
    <row r="273" spans="1:11" ht="24" x14ac:dyDescent="0.25">
      <c r="A273" s="3">
        <v>102</v>
      </c>
      <c r="B273" s="14" t="s">
        <v>281</v>
      </c>
      <c r="C273" s="15" t="str">
        <f>"UG-00388/15"</f>
        <v>UG-00388/15</v>
      </c>
      <c r="D273" s="15" t="str">
        <f t="shared" si="12"/>
        <v>INA INDUSTRIJA NAFTE D.D.</v>
      </c>
      <c r="E273" s="16">
        <v>42020</v>
      </c>
      <c r="F273" s="16">
        <v>42720</v>
      </c>
      <c r="G273" s="13">
        <v>12777.6</v>
      </c>
      <c r="H273" s="16">
        <v>42720</v>
      </c>
      <c r="I273" s="13">
        <v>0</v>
      </c>
      <c r="J273" s="13">
        <f t="shared" si="13"/>
        <v>0</v>
      </c>
      <c r="K273" s="6"/>
    </row>
    <row r="274" spans="1:11" ht="24" x14ac:dyDescent="0.25">
      <c r="A274" s="3">
        <v>103</v>
      </c>
      <c r="B274" s="14" t="s">
        <v>282</v>
      </c>
      <c r="C274" s="15" t="str">
        <f>"41-SU-976/14-1"</f>
        <v>41-SU-976/14-1</v>
      </c>
      <c r="D274" s="15" t="str">
        <f t="shared" si="12"/>
        <v>INA INDUSTRIJA NAFTE D.D.</v>
      </c>
      <c r="E274" s="16">
        <v>42020</v>
      </c>
      <c r="F274" s="16">
        <v>42719</v>
      </c>
      <c r="G274" s="13">
        <v>16738.66</v>
      </c>
      <c r="H274" s="16">
        <v>42719</v>
      </c>
      <c r="I274" s="13">
        <v>7342.5</v>
      </c>
      <c r="J274" s="13">
        <f t="shared" si="13"/>
        <v>9178.125</v>
      </c>
      <c r="K274" s="6"/>
    </row>
    <row r="275" spans="1:11" ht="24" x14ac:dyDescent="0.25">
      <c r="A275" s="3">
        <v>104</v>
      </c>
      <c r="B275" s="14" t="s">
        <v>283</v>
      </c>
      <c r="C275" s="15" t="str">
        <f>"UG-50000234-00128/15"</f>
        <v>UG-50000234-00128/15</v>
      </c>
      <c r="D275" s="15" t="str">
        <f t="shared" si="12"/>
        <v>INA INDUSTRIJA NAFTE D.D.</v>
      </c>
      <c r="E275" s="16">
        <v>42017</v>
      </c>
      <c r="F275" s="16">
        <v>42369</v>
      </c>
      <c r="G275" s="13">
        <v>55685.760000000002</v>
      </c>
      <c r="H275" s="16">
        <v>42369</v>
      </c>
      <c r="I275" s="13">
        <v>38787.06</v>
      </c>
      <c r="J275" s="13">
        <f t="shared" si="13"/>
        <v>48483.824999999997</v>
      </c>
      <c r="K275" s="6"/>
    </row>
    <row r="276" spans="1:11" ht="24" x14ac:dyDescent="0.25">
      <c r="A276" s="3">
        <v>105</v>
      </c>
      <c r="B276" s="14" t="s">
        <v>69</v>
      </c>
      <c r="C276" s="15" t="str">
        <f>"50000234-00092/15"</f>
        <v>50000234-00092/15</v>
      </c>
      <c r="D276" s="15" t="str">
        <f t="shared" si="12"/>
        <v>INA INDUSTRIJA NAFTE D.D.</v>
      </c>
      <c r="E276" s="16">
        <v>42016</v>
      </c>
      <c r="F276" s="16">
        <v>42369</v>
      </c>
      <c r="G276" s="13">
        <v>8056.8</v>
      </c>
      <c r="H276" s="16">
        <v>42369</v>
      </c>
      <c r="I276" s="13">
        <v>1031.1500000000001</v>
      </c>
      <c r="J276" s="13">
        <f t="shared" si="13"/>
        <v>1288.9375</v>
      </c>
      <c r="K276" s="6"/>
    </row>
    <row r="277" spans="1:11" ht="24" x14ac:dyDescent="0.25">
      <c r="A277" s="3">
        <v>106</v>
      </c>
      <c r="B277" s="14" t="s">
        <v>255</v>
      </c>
      <c r="C277" s="15" t="str">
        <f>"UG-50000234-00050/15-2"</f>
        <v>UG-50000234-00050/15-2</v>
      </c>
      <c r="D277" s="15" t="str">
        <f t="shared" si="12"/>
        <v>INA INDUSTRIJA NAFTE D.D.</v>
      </c>
      <c r="E277" s="16">
        <v>42019</v>
      </c>
      <c r="F277" s="16">
        <v>42722</v>
      </c>
      <c r="G277" s="13">
        <v>24383.52</v>
      </c>
      <c r="H277" s="16">
        <v>42722</v>
      </c>
      <c r="I277" s="13">
        <v>8851.5</v>
      </c>
      <c r="J277" s="13">
        <f t="shared" si="13"/>
        <v>11064.375</v>
      </c>
      <c r="K277" s="6"/>
    </row>
    <row r="278" spans="1:11" ht="24" x14ac:dyDescent="0.25">
      <c r="A278" s="3">
        <v>107</v>
      </c>
      <c r="B278" s="14" t="s">
        <v>74</v>
      </c>
      <c r="C278" s="15" t="str">
        <f>"00235/15"</f>
        <v>00235/15</v>
      </c>
      <c r="D278" s="15" t="str">
        <f t="shared" si="12"/>
        <v>INA INDUSTRIJA NAFTE D.D.</v>
      </c>
      <c r="E278" s="16">
        <v>42006</v>
      </c>
      <c r="F278" s="16">
        <v>42369</v>
      </c>
      <c r="G278" s="13">
        <v>8208</v>
      </c>
      <c r="H278" s="16">
        <v>42369</v>
      </c>
      <c r="I278" s="13">
        <v>7195.37</v>
      </c>
      <c r="J278" s="13">
        <f t="shared" si="13"/>
        <v>8994.2124999999996</v>
      </c>
      <c r="K278" s="6"/>
    </row>
    <row r="279" spans="1:11" ht="24" x14ac:dyDescent="0.25">
      <c r="A279" s="3">
        <v>108</v>
      </c>
      <c r="B279" s="14" t="s">
        <v>53</v>
      </c>
      <c r="C279" s="15" t="str">
        <f>"UG-50000234-00039/15"</f>
        <v>UG-50000234-00039/15</v>
      </c>
      <c r="D279" s="15" t="str">
        <f t="shared" si="12"/>
        <v>INA INDUSTRIJA NAFTE D.D.</v>
      </c>
      <c r="E279" s="16">
        <v>42024</v>
      </c>
      <c r="F279" s="16">
        <v>42369</v>
      </c>
      <c r="G279" s="13">
        <v>267980</v>
      </c>
      <c r="H279" s="16">
        <v>42369</v>
      </c>
      <c r="I279" s="13">
        <v>214796.32</v>
      </c>
      <c r="J279" s="13">
        <f t="shared" si="13"/>
        <v>268495.40000000002</v>
      </c>
      <c r="K279" s="6"/>
    </row>
    <row r="280" spans="1:11" ht="24" x14ac:dyDescent="0.25">
      <c r="A280" s="3">
        <v>109</v>
      </c>
      <c r="B280" s="14" t="s">
        <v>90</v>
      </c>
      <c r="C280" s="15" t="str">
        <f>"U-1-MV/15"</f>
        <v>U-1-MV/15</v>
      </c>
      <c r="D280" s="15" t="str">
        <f t="shared" si="12"/>
        <v>INA INDUSTRIJA NAFTE D.D.</v>
      </c>
      <c r="E280" s="16">
        <v>42020</v>
      </c>
      <c r="F280" s="16">
        <v>42369</v>
      </c>
      <c r="G280" s="13">
        <v>724320</v>
      </c>
      <c r="H280" s="16">
        <v>42369</v>
      </c>
      <c r="I280" s="13">
        <v>319245.26</v>
      </c>
      <c r="J280" s="13">
        <f t="shared" si="13"/>
        <v>399056.57500000001</v>
      </c>
      <c r="K280" s="6"/>
    </row>
    <row r="281" spans="1:11" ht="24" x14ac:dyDescent="0.25">
      <c r="A281" s="3">
        <v>110</v>
      </c>
      <c r="B281" s="14" t="s">
        <v>91</v>
      </c>
      <c r="C281" s="15" t="str">
        <f>"U01/15"</f>
        <v>U01/15</v>
      </c>
      <c r="D281" s="15" t="str">
        <f t="shared" si="12"/>
        <v>INA INDUSTRIJA NAFTE D.D.</v>
      </c>
      <c r="E281" s="16">
        <v>42034</v>
      </c>
      <c r="F281" s="16">
        <v>42369</v>
      </c>
      <c r="G281" s="13">
        <v>162875.20000000001</v>
      </c>
      <c r="H281" s="16">
        <v>42369</v>
      </c>
      <c r="I281" s="13">
        <v>99326.78</v>
      </c>
      <c r="J281" s="13">
        <f t="shared" si="13"/>
        <v>124158.47500000001</v>
      </c>
      <c r="K281" s="6"/>
    </row>
    <row r="282" spans="1:11" ht="24" x14ac:dyDescent="0.25">
      <c r="A282" s="3">
        <v>111</v>
      </c>
      <c r="B282" s="14" t="s">
        <v>55</v>
      </c>
      <c r="C282" s="15" t="str">
        <f>"1-13-15-5-1"</f>
        <v>1-13-15-5-1</v>
      </c>
      <c r="D282" s="15" t="str">
        <f t="shared" si="12"/>
        <v>INA INDUSTRIJA NAFTE D.D.</v>
      </c>
      <c r="E282" s="16">
        <v>42032</v>
      </c>
      <c r="F282" s="16">
        <v>42723</v>
      </c>
      <c r="G282" s="13">
        <v>1441640.16</v>
      </c>
      <c r="H282" s="16">
        <v>42723</v>
      </c>
      <c r="I282" s="13">
        <v>232681.81</v>
      </c>
      <c r="J282" s="13">
        <f t="shared" si="13"/>
        <v>290852.26250000001</v>
      </c>
      <c r="K282" s="6"/>
    </row>
    <row r="283" spans="1:11" ht="24" x14ac:dyDescent="0.25">
      <c r="A283" s="3">
        <v>112</v>
      </c>
      <c r="B283" s="14" t="s">
        <v>43</v>
      </c>
      <c r="C283" s="15" t="str">
        <f>"UG-50000234-00213/15"</f>
        <v>UG-50000234-00213/15</v>
      </c>
      <c r="D283" s="15" t="str">
        <f t="shared" si="12"/>
        <v>INA INDUSTRIJA NAFTE D.D.</v>
      </c>
      <c r="E283" s="16">
        <v>42020</v>
      </c>
      <c r="F283" s="16">
        <v>42369</v>
      </c>
      <c r="G283" s="13">
        <v>222931.20000000001</v>
      </c>
      <c r="H283" s="16">
        <v>42369</v>
      </c>
      <c r="I283" s="13">
        <v>92265.41</v>
      </c>
      <c r="J283" s="13">
        <f t="shared" si="13"/>
        <v>115331.76250000001</v>
      </c>
      <c r="K283" s="6"/>
    </row>
    <row r="284" spans="1:11" ht="36" x14ac:dyDescent="0.25">
      <c r="A284" s="3">
        <v>113</v>
      </c>
      <c r="B284" s="14" t="s">
        <v>59</v>
      </c>
      <c r="C284" s="15" t="str">
        <f>"02-A-A-0004/15-21"</f>
        <v>02-A-A-0004/15-21</v>
      </c>
      <c r="D284" s="15" t="str">
        <f t="shared" si="12"/>
        <v>INA INDUSTRIJA NAFTE D.D.</v>
      </c>
      <c r="E284" s="16">
        <v>42017</v>
      </c>
      <c r="F284" s="16">
        <v>42723</v>
      </c>
      <c r="G284" s="13">
        <v>382389.6</v>
      </c>
      <c r="H284" s="16">
        <v>42723</v>
      </c>
      <c r="I284" s="13">
        <v>94989.18</v>
      </c>
      <c r="J284" s="13">
        <f t="shared" si="13"/>
        <v>118736.47499999999</v>
      </c>
      <c r="K284" s="6"/>
    </row>
    <row r="285" spans="1:11" ht="24" x14ac:dyDescent="0.25">
      <c r="A285" s="3">
        <v>114</v>
      </c>
      <c r="B285" s="14" t="s">
        <v>62</v>
      </c>
      <c r="C285" s="15" t="str">
        <f>"UG-00426/15"</f>
        <v>UG-00426/15</v>
      </c>
      <c r="D285" s="15" t="str">
        <f t="shared" ref="D285:D346" si="14">CONCATENATE("INA INDUSTRIJA NAFTE D.D.")</f>
        <v>INA INDUSTRIJA NAFTE D.D.</v>
      </c>
      <c r="E285" s="16">
        <v>42033</v>
      </c>
      <c r="F285" s="16">
        <v>42369</v>
      </c>
      <c r="G285" s="13">
        <v>1268000</v>
      </c>
      <c r="H285" s="16">
        <v>42369</v>
      </c>
      <c r="I285" s="13">
        <v>358115.45</v>
      </c>
      <c r="J285" s="13">
        <f t="shared" si="13"/>
        <v>447644.3125</v>
      </c>
      <c r="K285" s="6"/>
    </row>
    <row r="286" spans="1:11" ht="24" x14ac:dyDescent="0.25">
      <c r="A286" s="3">
        <v>115</v>
      </c>
      <c r="B286" s="14" t="s">
        <v>27</v>
      </c>
      <c r="C286" s="15" t="str">
        <f>"4/2014-07"</f>
        <v>4/2014-07</v>
      </c>
      <c r="D286" s="15" t="str">
        <f t="shared" si="14"/>
        <v>INA INDUSTRIJA NAFTE D.D.</v>
      </c>
      <c r="E286" s="16">
        <v>42027</v>
      </c>
      <c r="F286" s="16">
        <v>42369</v>
      </c>
      <c r="G286" s="13">
        <v>6885357.5199999996</v>
      </c>
      <c r="H286" s="16">
        <v>42369</v>
      </c>
      <c r="I286" s="13">
        <v>13591670.210000001</v>
      </c>
      <c r="J286" s="13">
        <f t="shared" si="13"/>
        <v>16989587.762500003</v>
      </c>
      <c r="K286" s="6"/>
    </row>
    <row r="287" spans="1:11" ht="24" x14ac:dyDescent="0.25">
      <c r="A287" s="3">
        <v>116</v>
      </c>
      <c r="B287" s="14" t="s">
        <v>39</v>
      </c>
      <c r="C287" s="15" t="str">
        <f>"2/15."</f>
        <v>2/15.</v>
      </c>
      <c r="D287" s="15" t="str">
        <f t="shared" si="14"/>
        <v>INA INDUSTRIJA NAFTE D.D.</v>
      </c>
      <c r="E287" s="16">
        <v>42011</v>
      </c>
      <c r="F287" s="16">
        <v>42369</v>
      </c>
      <c r="G287" s="13">
        <v>192250.8</v>
      </c>
      <c r="H287" s="16">
        <v>42369</v>
      </c>
      <c r="I287" s="13">
        <v>203457.38</v>
      </c>
      <c r="J287" s="13">
        <f t="shared" si="13"/>
        <v>254321.72500000001</v>
      </c>
      <c r="K287" s="6"/>
    </row>
    <row r="288" spans="1:11" ht="24" x14ac:dyDescent="0.25">
      <c r="A288" s="3">
        <v>117</v>
      </c>
      <c r="B288" s="14" t="s">
        <v>36</v>
      </c>
      <c r="C288" s="15" t="str">
        <f>"UG-50000234-00273/15"</f>
        <v>UG-50000234-00273/15</v>
      </c>
      <c r="D288" s="15" t="str">
        <f t="shared" si="14"/>
        <v>INA INDUSTRIJA NAFTE D.D.</v>
      </c>
      <c r="E288" s="16">
        <v>42018</v>
      </c>
      <c r="F288" s="16">
        <v>42369</v>
      </c>
      <c r="G288" s="13">
        <v>325358.40000000002</v>
      </c>
      <c r="H288" s="16">
        <v>42369</v>
      </c>
      <c r="I288" s="13">
        <v>152719.87</v>
      </c>
      <c r="J288" s="13">
        <f t="shared" si="13"/>
        <v>190899.83749999999</v>
      </c>
      <c r="K288" s="6"/>
    </row>
    <row r="289" spans="1:11" ht="24" x14ac:dyDescent="0.25">
      <c r="A289" s="3">
        <v>118</v>
      </c>
      <c r="B289" s="14" t="s">
        <v>50</v>
      </c>
      <c r="C289" s="15" t="str">
        <f>"1/2015-3"</f>
        <v>1/2015-3</v>
      </c>
      <c r="D289" s="15" t="str">
        <f t="shared" si="14"/>
        <v>INA INDUSTRIJA NAFTE D.D.</v>
      </c>
      <c r="E289" s="16">
        <v>42006</v>
      </c>
      <c r="F289" s="16">
        <v>42369</v>
      </c>
      <c r="G289" s="13">
        <v>32856.6</v>
      </c>
      <c r="H289" s="16">
        <v>42369</v>
      </c>
      <c r="I289" s="13">
        <v>5496.17</v>
      </c>
      <c r="J289" s="13">
        <f t="shared" si="13"/>
        <v>6870.2124999999996</v>
      </c>
      <c r="K289" s="6"/>
    </row>
    <row r="290" spans="1:11" ht="24" x14ac:dyDescent="0.25">
      <c r="A290" s="3">
        <v>119</v>
      </c>
      <c r="B290" s="14" t="s">
        <v>47</v>
      </c>
      <c r="C290" s="15" t="str">
        <f>"UG-50000234-00258/15"</f>
        <v>UG-50000234-00258/15</v>
      </c>
      <c r="D290" s="15" t="str">
        <f t="shared" si="14"/>
        <v>INA INDUSTRIJA NAFTE D.D.</v>
      </c>
      <c r="E290" s="16">
        <v>42027</v>
      </c>
      <c r="F290" s="16">
        <v>42369</v>
      </c>
      <c r="G290" s="13">
        <v>63920.56</v>
      </c>
      <c r="H290" s="16">
        <v>42369</v>
      </c>
      <c r="I290" s="13">
        <v>41089.06</v>
      </c>
      <c r="J290" s="13">
        <f t="shared" si="13"/>
        <v>51361.324999999997</v>
      </c>
      <c r="K290" s="6"/>
    </row>
    <row r="291" spans="1:11" ht="24" x14ac:dyDescent="0.25">
      <c r="A291" s="3">
        <v>120</v>
      </c>
      <c r="B291" s="14" t="s">
        <v>35</v>
      </c>
      <c r="C291" s="15" t="str">
        <f>"UG-00420/15-3"</f>
        <v>UG-00420/15-3</v>
      </c>
      <c r="D291" s="15" t="str">
        <f t="shared" si="14"/>
        <v>INA INDUSTRIJA NAFTE D.D.</v>
      </c>
      <c r="E291" s="16">
        <v>42025</v>
      </c>
      <c r="F291" s="16">
        <v>42369</v>
      </c>
      <c r="G291" s="13">
        <v>158598.39999999999</v>
      </c>
      <c r="H291" s="16">
        <v>42369</v>
      </c>
      <c r="I291" s="13">
        <v>137237.15</v>
      </c>
      <c r="J291" s="13">
        <f t="shared" si="13"/>
        <v>171546.4375</v>
      </c>
      <c r="K291" s="6"/>
    </row>
    <row r="292" spans="1:11" ht="24" x14ac:dyDescent="0.25">
      <c r="A292" s="3">
        <v>121</v>
      </c>
      <c r="B292" s="14" t="s">
        <v>48</v>
      </c>
      <c r="C292" s="15" t="str">
        <f>"UG-50000234-00172/15"</f>
        <v>UG-50000234-00172/15</v>
      </c>
      <c r="D292" s="15" t="str">
        <f t="shared" si="14"/>
        <v>INA INDUSTRIJA NAFTE D.D.</v>
      </c>
      <c r="E292" s="16">
        <v>42016</v>
      </c>
      <c r="F292" s="16">
        <v>42369</v>
      </c>
      <c r="G292" s="13">
        <v>6103.2</v>
      </c>
      <c r="H292" s="16">
        <v>42369</v>
      </c>
      <c r="I292" s="13">
        <v>2456.98</v>
      </c>
      <c r="J292" s="13">
        <f t="shared" si="13"/>
        <v>3071.2249999999999</v>
      </c>
      <c r="K292" s="6"/>
    </row>
    <row r="293" spans="1:11" ht="24" x14ac:dyDescent="0.25">
      <c r="A293" s="3">
        <v>122</v>
      </c>
      <c r="B293" s="14" t="s">
        <v>61</v>
      </c>
      <c r="C293" s="15" t="str">
        <f>"UG-50000234-00264/15"</f>
        <v>UG-50000234-00264/15</v>
      </c>
      <c r="D293" s="15" t="str">
        <f t="shared" si="14"/>
        <v>INA INDUSTRIJA NAFTE D.D.</v>
      </c>
      <c r="E293" s="16">
        <v>42017</v>
      </c>
      <c r="F293" s="16">
        <v>42369</v>
      </c>
      <c r="G293" s="13">
        <v>100200</v>
      </c>
      <c r="H293" s="16">
        <v>42369</v>
      </c>
      <c r="I293" s="13">
        <v>17938.21</v>
      </c>
      <c r="J293" s="13">
        <f t="shared" ref="J293:J356" si="15">I293*1.25</f>
        <v>22422.762499999997</v>
      </c>
      <c r="K293" s="6"/>
    </row>
    <row r="294" spans="1:11" ht="24" x14ac:dyDescent="0.25">
      <c r="A294" s="3">
        <v>123</v>
      </c>
      <c r="B294" s="14" t="s">
        <v>83</v>
      </c>
      <c r="C294" s="15" t="str">
        <f>"UG-50000234-00262/15"</f>
        <v>UG-50000234-00262/15</v>
      </c>
      <c r="D294" s="15" t="str">
        <f t="shared" si="14"/>
        <v>INA INDUSTRIJA NAFTE D.D.</v>
      </c>
      <c r="E294" s="16">
        <v>42023</v>
      </c>
      <c r="F294" s="16">
        <v>42369</v>
      </c>
      <c r="G294" s="13">
        <v>33969.599999999999</v>
      </c>
      <c r="H294" s="16">
        <v>42369</v>
      </c>
      <c r="I294" s="13">
        <v>20817.990000000002</v>
      </c>
      <c r="J294" s="13">
        <f t="shared" si="15"/>
        <v>26022.487500000003</v>
      </c>
      <c r="K294" s="6"/>
    </row>
    <row r="295" spans="1:11" ht="24" x14ac:dyDescent="0.25">
      <c r="A295" s="3">
        <v>124</v>
      </c>
      <c r="B295" s="14" t="s">
        <v>284</v>
      </c>
      <c r="C295" s="15" t="str">
        <f>"UG-50000234-00052/15"</f>
        <v>UG-50000234-00052/15</v>
      </c>
      <c r="D295" s="15" t="str">
        <f t="shared" si="14"/>
        <v>INA INDUSTRIJA NAFTE D.D.</v>
      </c>
      <c r="E295" s="16">
        <v>42016</v>
      </c>
      <c r="F295" s="16">
        <v>42369</v>
      </c>
      <c r="G295" s="13">
        <v>22792</v>
      </c>
      <c r="H295" s="16">
        <v>42369</v>
      </c>
      <c r="I295" s="13">
        <v>20838.39</v>
      </c>
      <c r="J295" s="13">
        <f t="shared" si="15"/>
        <v>26047.987499999999</v>
      </c>
      <c r="K295" s="6"/>
    </row>
    <row r="296" spans="1:11" ht="24" x14ac:dyDescent="0.25">
      <c r="A296" s="3">
        <v>125</v>
      </c>
      <c r="B296" s="14" t="s">
        <v>285</v>
      </c>
      <c r="C296" s="15" t="str">
        <f>"UG-50000234-00164/15"</f>
        <v>UG-50000234-00164/15</v>
      </c>
      <c r="D296" s="15" t="str">
        <f t="shared" si="14"/>
        <v>INA INDUSTRIJA NAFTE D.D.</v>
      </c>
      <c r="E296" s="16">
        <v>42018</v>
      </c>
      <c r="F296" s="16">
        <v>42369</v>
      </c>
      <c r="G296" s="13">
        <v>16057.44</v>
      </c>
      <c r="H296" s="16">
        <v>42369</v>
      </c>
      <c r="I296" s="13">
        <v>18525.55</v>
      </c>
      <c r="J296" s="13">
        <f t="shared" si="15"/>
        <v>23156.9375</v>
      </c>
      <c r="K296" s="6"/>
    </row>
    <row r="297" spans="1:11" ht="36" x14ac:dyDescent="0.25">
      <c r="A297" s="3">
        <v>126</v>
      </c>
      <c r="B297" s="14" t="s">
        <v>286</v>
      </c>
      <c r="C297" s="15" t="str">
        <f>"UG-50000234-00080/15"</f>
        <v>UG-50000234-00080/15</v>
      </c>
      <c r="D297" s="15" t="str">
        <f t="shared" si="14"/>
        <v>INA INDUSTRIJA NAFTE D.D.</v>
      </c>
      <c r="E297" s="16">
        <v>42026</v>
      </c>
      <c r="F297" s="16">
        <v>42369</v>
      </c>
      <c r="G297" s="13">
        <v>35064</v>
      </c>
      <c r="H297" s="16">
        <v>42369</v>
      </c>
      <c r="I297" s="40">
        <v>0</v>
      </c>
      <c r="J297" s="40">
        <f t="shared" si="15"/>
        <v>0</v>
      </c>
      <c r="K297" s="6"/>
    </row>
    <row r="298" spans="1:11" ht="24" x14ac:dyDescent="0.25">
      <c r="A298" s="3">
        <v>127</v>
      </c>
      <c r="B298" s="14" t="s">
        <v>163</v>
      </c>
      <c r="C298" s="15" t="str">
        <f>"UG-50000234-00249/15"</f>
        <v>UG-50000234-00249/15</v>
      </c>
      <c r="D298" s="15" t="str">
        <f t="shared" si="14"/>
        <v>INA INDUSTRIJA NAFTE D.D.</v>
      </c>
      <c r="E298" s="16">
        <v>42023</v>
      </c>
      <c r="F298" s="16">
        <v>42369</v>
      </c>
      <c r="G298" s="13">
        <v>2378.88</v>
      </c>
      <c r="H298" s="16">
        <v>42369</v>
      </c>
      <c r="I298" s="13">
        <v>0</v>
      </c>
      <c r="J298" s="13">
        <f t="shared" si="15"/>
        <v>0</v>
      </c>
      <c r="K298" s="6"/>
    </row>
    <row r="299" spans="1:11" ht="24" x14ac:dyDescent="0.25">
      <c r="A299" s="3">
        <v>128</v>
      </c>
      <c r="B299" s="14" t="s">
        <v>287</v>
      </c>
      <c r="C299" s="15" t="str">
        <f>"UG-50000234-00381/15"</f>
        <v>UG-50000234-00381/15</v>
      </c>
      <c r="D299" s="15" t="str">
        <f t="shared" si="14"/>
        <v>INA INDUSTRIJA NAFTE D.D.</v>
      </c>
      <c r="E299" s="16">
        <v>42027</v>
      </c>
      <c r="F299" s="16">
        <v>42369</v>
      </c>
      <c r="G299" s="13">
        <v>6978.4</v>
      </c>
      <c r="H299" s="16">
        <v>42369</v>
      </c>
      <c r="I299" s="13">
        <v>6369.68</v>
      </c>
      <c r="J299" s="13">
        <f t="shared" si="15"/>
        <v>7962.1</v>
      </c>
      <c r="K299" s="6"/>
    </row>
    <row r="300" spans="1:11" ht="24" x14ac:dyDescent="0.25">
      <c r="A300" s="3">
        <v>129</v>
      </c>
      <c r="B300" s="14" t="s">
        <v>288</v>
      </c>
      <c r="C300" s="15" t="str">
        <f>"UG-50000234-00217/15"</f>
        <v>UG-50000234-00217/15</v>
      </c>
      <c r="D300" s="15" t="str">
        <f t="shared" si="14"/>
        <v>INA INDUSTRIJA NAFTE D.D.</v>
      </c>
      <c r="E300" s="16">
        <v>42005</v>
      </c>
      <c r="F300" s="16">
        <v>42369</v>
      </c>
      <c r="G300" s="13">
        <v>4917.12</v>
      </c>
      <c r="H300" s="16">
        <v>42369</v>
      </c>
      <c r="I300" s="13">
        <v>345.94</v>
      </c>
      <c r="J300" s="13">
        <f t="shared" si="15"/>
        <v>432.42500000000001</v>
      </c>
      <c r="K300" s="6"/>
    </row>
    <row r="301" spans="1:11" ht="24" x14ac:dyDescent="0.25">
      <c r="A301" s="3">
        <v>130</v>
      </c>
      <c r="B301" s="14" t="s">
        <v>289</v>
      </c>
      <c r="C301" s="15" t="str">
        <f>"UG-50000234-00207/15"</f>
        <v>UG-50000234-00207/15</v>
      </c>
      <c r="D301" s="15" t="str">
        <f t="shared" si="14"/>
        <v>INA INDUSTRIJA NAFTE D.D.</v>
      </c>
      <c r="E301" s="16">
        <v>42024</v>
      </c>
      <c r="F301" s="16">
        <v>42369</v>
      </c>
      <c r="G301" s="13">
        <v>70128</v>
      </c>
      <c r="H301" s="16">
        <v>42369</v>
      </c>
      <c r="I301" s="13">
        <v>0</v>
      </c>
      <c r="J301" s="13">
        <f t="shared" si="15"/>
        <v>0</v>
      </c>
      <c r="K301" s="6"/>
    </row>
    <row r="302" spans="1:11" ht="24" x14ac:dyDescent="0.25">
      <c r="A302" s="3">
        <v>131</v>
      </c>
      <c r="B302" s="14" t="s">
        <v>290</v>
      </c>
      <c r="C302" s="15" t="str">
        <f>"UG-50000234-00332/15"</f>
        <v>UG-50000234-00332/15</v>
      </c>
      <c r="D302" s="15" t="str">
        <f t="shared" si="14"/>
        <v>INA INDUSTRIJA NAFTE D.D.</v>
      </c>
      <c r="E302" s="16">
        <v>42034</v>
      </c>
      <c r="F302" s="16">
        <v>42369</v>
      </c>
      <c r="G302" s="13">
        <v>1929.6</v>
      </c>
      <c r="H302" s="16">
        <v>42369</v>
      </c>
      <c r="I302" s="13">
        <v>320.64</v>
      </c>
      <c r="J302" s="13">
        <f t="shared" si="15"/>
        <v>400.79999999999995</v>
      </c>
      <c r="K302" s="6"/>
    </row>
    <row r="303" spans="1:11" ht="24" x14ac:dyDescent="0.25">
      <c r="A303" s="3">
        <v>132</v>
      </c>
      <c r="B303" s="14" t="s">
        <v>207</v>
      </c>
      <c r="C303" s="15" t="str">
        <f>"UG-50000234-00170/15"</f>
        <v>UG-50000234-00170/15</v>
      </c>
      <c r="D303" s="15" t="str">
        <f t="shared" si="14"/>
        <v>INA INDUSTRIJA NAFTE D.D.</v>
      </c>
      <c r="E303" s="16">
        <v>42019</v>
      </c>
      <c r="F303" s="16">
        <v>42369</v>
      </c>
      <c r="G303" s="13">
        <v>17841.599999999999</v>
      </c>
      <c r="H303" s="16">
        <v>42369</v>
      </c>
      <c r="I303" s="13">
        <v>10462.73</v>
      </c>
      <c r="J303" s="13">
        <f t="shared" si="15"/>
        <v>13078.412499999999</v>
      </c>
      <c r="K303" s="6"/>
    </row>
    <row r="304" spans="1:11" ht="24" x14ac:dyDescent="0.25">
      <c r="A304" s="3">
        <v>133</v>
      </c>
      <c r="B304" s="14" t="s">
        <v>211</v>
      </c>
      <c r="C304" s="15" t="str">
        <f>"RA-14-03/35"</f>
        <v>RA-14-03/35</v>
      </c>
      <c r="D304" s="15" t="str">
        <f t="shared" si="14"/>
        <v>INA INDUSTRIJA NAFTE D.D.</v>
      </c>
      <c r="E304" s="16">
        <v>41996</v>
      </c>
      <c r="F304" s="16">
        <v>42369</v>
      </c>
      <c r="G304" s="13">
        <v>13045.6</v>
      </c>
      <c r="H304" s="16">
        <v>42369</v>
      </c>
      <c r="I304" s="13">
        <v>0</v>
      </c>
      <c r="J304" s="13">
        <f t="shared" si="15"/>
        <v>0</v>
      </c>
      <c r="K304" s="6"/>
    </row>
    <row r="305" spans="1:11" ht="24" x14ac:dyDescent="0.25">
      <c r="A305" s="3">
        <v>134</v>
      </c>
      <c r="B305" s="14" t="s">
        <v>214</v>
      </c>
      <c r="C305" s="15" t="str">
        <f>"UG-50000234-00009/15"</f>
        <v>UG-50000234-00009/15</v>
      </c>
      <c r="D305" s="15" t="str">
        <f t="shared" si="14"/>
        <v>INA INDUSTRIJA NAFTE D.D.</v>
      </c>
      <c r="E305" s="16">
        <v>42003</v>
      </c>
      <c r="F305" s="16">
        <v>42369</v>
      </c>
      <c r="G305" s="13">
        <v>8309.52</v>
      </c>
      <c r="H305" s="16">
        <v>42369</v>
      </c>
      <c r="I305" s="13">
        <v>11497.51</v>
      </c>
      <c r="J305" s="13">
        <f t="shared" si="15"/>
        <v>14371.887500000001</v>
      </c>
      <c r="K305" s="6"/>
    </row>
    <row r="306" spans="1:11" ht="24" x14ac:dyDescent="0.25">
      <c r="A306" s="3">
        <v>135</v>
      </c>
      <c r="B306" s="14" t="s">
        <v>291</v>
      </c>
      <c r="C306" s="15" t="str">
        <f>"UG-50000234-00195/15"</f>
        <v>UG-50000234-00195/15</v>
      </c>
      <c r="D306" s="15" t="str">
        <f t="shared" si="14"/>
        <v>INA INDUSTRIJA NAFTE D.D.</v>
      </c>
      <c r="E306" s="16">
        <v>42020</v>
      </c>
      <c r="F306" s="16">
        <v>42369</v>
      </c>
      <c r="G306" s="13">
        <v>11894.4</v>
      </c>
      <c r="H306" s="16">
        <v>42369</v>
      </c>
      <c r="I306" s="13">
        <v>0</v>
      </c>
      <c r="J306" s="13">
        <f t="shared" si="15"/>
        <v>0</v>
      </c>
      <c r="K306" s="6"/>
    </row>
    <row r="307" spans="1:11" ht="24" x14ac:dyDescent="0.25">
      <c r="A307" s="3">
        <v>136</v>
      </c>
      <c r="B307" s="14" t="s">
        <v>218</v>
      </c>
      <c r="C307" s="15" t="str">
        <f>"UG-50000234-00345/15"</f>
        <v>UG-50000234-00345/15</v>
      </c>
      <c r="D307" s="15" t="str">
        <f t="shared" si="14"/>
        <v>INA INDUSTRIJA NAFTE D.D.</v>
      </c>
      <c r="E307" s="16">
        <v>42026</v>
      </c>
      <c r="F307" s="16">
        <v>42369</v>
      </c>
      <c r="G307" s="13">
        <v>58440</v>
      </c>
      <c r="H307" s="16">
        <v>42369</v>
      </c>
      <c r="I307" s="13">
        <v>2560</v>
      </c>
      <c r="J307" s="13">
        <f t="shared" si="15"/>
        <v>3200</v>
      </c>
      <c r="K307" s="6"/>
    </row>
    <row r="308" spans="1:11" ht="24" x14ac:dyDescent="0.25">
      <c r="A308" s="3">
        <v>137</v>
      </c>
      <c r="B308" s="14" t="s">
        <v>148</v>
      </c>
      <c r="C308" s="15" t="str">
        <f>"UG-50000234-00139/15"</f>
        <v>UG-50000234-00139/15</v>
      </c>
      <c r="D308" s="15" t="str">
        <f t="shared" si="14"/>
        <v>INA INDUSTRIJA NAFTE D.D.</v>
      </c>
      <c r="E308" s="16">
        <v>42023</v>
      </c>
      <c r="F308" s="16">
        <v>42369</v>
      </c>
      <c r="G308" s="13">
        <v>30680.16</v>
      </c>
      <c r="H308" s="16">
        <v>42369</v>
      </c>
      <c r="I308" s="13">
        <v>32411.09</v>
      </c>
      <c r="J308" s="13">
        <f t="shared" si="15"/>
        <v>40513.862500000003</v>
      </c>
      <c r="K308" s="6"/>
    </row>
    <row r="309" spans="1:11" ht="24" x14ac:dyDescent="0.25">
      <c r="A309" s="3">
        <v>138</v>
      </c>
      <c r="B309" s="14" t="s">
        <v>292</v>
      </c>
      <c r="C309" s="15" t="str">
        <f>"UG-00404/15-2"</f>
        <v>UG-00404/15-2</v>
      </c>
      <c r="D309" s="15" t="str">
        <f t="shared" si="14"/>
        <v>INA INDUSTRIJA NAFTE D.D.</v>
      </c>
      <c r="E309" s="16">
        <v>42032</v>
      </c>
      <c r="F309" s="16">
        <v>42369</v>
      </c>
      <c r="G309" s="13">
        <v>46022.68</v>
      </c>
      <c r="H309" s="16">
        <v>42369</v>
      </c>
      <c r="I309" s="13">
        <v>0</v>
      </c>
      <c r="J309" s="13">
        <f t="shared" si="15"/>
        <v>0</v>
      </c>
      <c r="K309" s="6"/>
    </row>
    <row r="310" spans="1:11" ht="24" x14ac:dyDescent="0.25">
      <c r="A310" s="3">
        <v>139</v>
      </c>
      <c r="B310" s="14" t="s">
        <v>293</v>
      </c>
      <c r="C310" s="15" t="str">
        <f>"UG-00404/15-1"</f>
        <v>UG-00404/15-1</v>
      </c>
      <c r="D310" s="15" t="str">
        <f t="shared" si="14"/>
        <v>INA INDUSTRIJA NAFTE D.D.</v>
      </c>
      <c r="E310" s="16">
        <v>42031</v>
      </c>
      <c r="F310" s="16">
        <v>42369</v>
      </c>
      <c r="G310" s="13">
        <v>8759.6</v>
      </c>
      <c r="H310" s="16">
        <v>42369</v>
      </c>
      <c r="I310" s="40">
        <v>0</v>
      </c>
      <c r="J310" s="40">
        <f t="shared" si="15"/>
        <v>0</v>
      </c>
      <c r="K310" s="6"/>
    </row>
    <row r="311" spans="1:11" ht="24" x14ac:dyDescent="0.25">
      <c r="A311" s="3">
        <v>140</v>
      </c>
      <c r="B311" s="14" t="s">
        <v>294</v>
      </c>
      <c r="C311" s="15" t="str">
        <f>"UG-50000234-00256/15"</f>
        <v>UG-50000234-00256/15</v>
      </c>
      <c r="D311" s="15" t="str">
        <f t="shared" si="14"/>
        <v>INA INDUSTRIJA NAFTE D.D.</v>
      </c>
      <c r="E311" s="16">
        <v>42040</v>
      </c>
      <c r="F311" s="16">
        <v>42369</v>
      </c>
      <c r="G311" s="13">
        <v>2418.56</v>
      </c>
      <c r="H311" s="16">
        <v>42369</v>
      </c>
      <c r="I311" s="13">
        <v>863.86</v>
      </c>
      <c r="J311" s="13">
        <f t="shared" si="15"/>
        <v>1079.825</v>
      </c>
      <c r="K311" s="6"/>
    </row>
    <row r="312" spans="1:11" ht="24" x14ac:dyDescent="0.25">
      <c r="A312" s="3">
        <v>141</v>
      </c>
      <c r="B312" s="14" t="s">
        <v>294</v>
      </c>
      <c r="C312" s="15" t="str">
        <f>"UG-00467/15"</f>
        <v>UG-00467/15</v>
      </c>
      <c r="D312" s="15" t="str">
        <f t="shared" si="14"/>
        <v>INA INDUSTRIJA NAFTE D.D.</v>
      </c>
      <c r="E312" s="16">
        <v>42040</v>
      </c>
      <c r="F312" s="16">
        <v>42369</v>
      </c>
      <c r="G312" s="13">
        <v>10569.28</v>
      </c>
      <c r="H312" s="16">
        <v>42369</v>
      </c>
      <c r="I312" s="13">
        <v>2224.19</v>
      </c>
      <c r="J312" s="13">
        <f t="shared" si="15"/>
        <v>2780.2375000000002</v>
      </c>
      <c r="K312" s="6"/>
    </row>
    <row r="313" spans="1:11" ht="36" x14ac:dyDescent="0.25">
      <c r="A313" s="3">
        <v>142</v>
      </c>
      <c r="B313" s="14" t="s">
        <v>295</v>
      </c>
      <c r="C313" s="15" t="str">
        <f>"UG-50000234-00251/15"</f>
        <v>UG-50000234-00251/15</v>
      </c>
      <c r="D313" s="15" t="str">
        <f t="shared" si="14"/>
        <v>INA INDUSTRIJA NAFTE D.D.</v>
      </c>
      <c r="E313" s="16">
        <v>42027</v>
      </c>
      <c r="F313" s="16">
        <v>42369</v>
      </c>
      <c r="G313" s="13">
        <v>584.4</v>
      </c>
      <c r="H313" s="16">
        <v>42369</v>
      </c>
      <c r="I313" s="13">
        <v>0</v>
      </c>
      <c r="J313" s="13">
        <f t="shared" si="15"/>
        <v>0</v>
      </c>
      <c r="K313" s="6"/>
    </row>
    <row r="314" spans="1:11" ht="24" x14ac:dyDescent="0.25">
      <c r="A314" s="3">
        <v>143</v>
      </c>
      <c r="B314" s="14" t="s">
        <v>189</v>
      </c>
      <c r="C314" s="15" t="str">
        <f>"UG-50000234-00209/15"</f>
        <v>UG-50000234-00209/15</v>
      </c>
      <c r="D314" s="15" t="str">
        <f t="shared" si="14"/>
        <v>INA INDUSTRIJA NAFTE D.D.</v>
      </c>
      <c r="E314" s="16">
        <v>42027</v>
      </c>
      <c r="F314" s="16">
        <v>42369</v>
      </c>
      <c r="G314" s="13">
        <v>108273.2</v>
      </c>
      <c r="H314" s="16">
        <v>42369</v>
      </c>
      <c r="I314" s="13">
        <v>80285.05</v>
      </c>
      <c r="J314" s="13">
        <f t="shared" si="15"/>
        <v>100356.3125</v>
      </c>
      <c r="K314" s="6"/>
    </row>
    <row r="315" spans="1:11" ht="24" x14ac:dyDescent="0.25">
      <c r="A315" s="3">
        <v>144</v>
      </c>
      <c r="B315" s="14" t="s">
        <v>165</v>
      </c>
      <c r="C315" s="15" t="str">
        <f>"UG-50000234-00312/15"</f>
        <v>UG-50000234-00312/15</v>
      </c>
      <c r="D315" s="15" t="str">
        <f t="shared" si="14"/>
        <v>INA INDUSTRIJA NAFTE D.D.</v>
      </c>
      <c r="E315" s="16">
        <v>42025</v>
      </c>
      <c r="F315" s="16">
        <v>42369</v>
      </c>
      <c r="G315" s="13">
        <v>47767.040000000001</v>
      </c>
      <c r="H315" s="16">
        <v>42369</v>
      </c>
      <c r="I315" s="13">
        <v>19916.830000000002</v>
      </c>
      <c r="J315" s="13">
        <f t="shared" si="15"/>
        <v>24896.037500000002</v>
      </c>
      <c r="K315" s="6"/>
    </row>
    <row r="316" spans="1:11" ht="24" x14ac:dyDescent="0.25">
      <c r="A316" s="3">
        <v>145</v>
      </c>
      <c r="B316" s="14" t="s">
        <v>296</v>
      </c>
      <c r="C316" s="15" t="str">
        <f>"UG-50000234-00298/15"</f>
        <v>UG-50000234-00298/15</v>
      </c>
      <c r="D316" s="15" t="str">
        <f t="shared" si="14"/>
        <v>INA INDUSTRIJA NAFTE D.D.</v>
      </c>
      <c r="E316" s="16">
        <v>42024</v>
      </c>
      <c r="F316" s="16">
        <v>42369</v>
      </c>
      <c r="G316" s="13">
        <v>15778.8</v>
      </c>
      <c r="H316" s="16">
        <v>42369</v>
      </c>
      <c r="I316" s="13">
        <v>15523.65</v>
      </c>
      <c r="J316" s="13">
        <f t="shared" si="15"/>
        <v>19404.5625</v>
      </c>
      <c r="K316" s="6"/>
    </row>
    <row r="317" spans="1:11" ht="24" x14ac:dyDescent="0.25">
      <c r="A317" s="3">
        <v>146</v>
      </c>
      <c r="B317" s="14" t="s">
        <v>202</v>
      </c>
      <c r="C317" s="15" t="str">
        <f>"UG-50000234-00116/15"</f>
        <v>UG-50000234-00116/15</v>
      </c>
      <c r="D317" s="15" t="str">
        <f t="shared" si="14"/>
        <v>INA INDUSTRIJA NAFTE D.D.</v>
      </c>
      <c r="E317" s="16">
        <v>42020</v>
      </c>
      <c r="F317" s="16">
        <v>42369</v>
      </c>
      <c r="G317" s="13">
        <v>7731.36</v>
      </c>
      <c r="H317" s="16">
        <v>42369</v>
      </c>
      <c r="I317" s="13">
        <v>833.18</v>
      </c>
      <c r="J317" s="13">
        <f t="shared" si="15"/>
        <v>1041.4749999999999</v>
      </c>
      <c r="K317" s="6"/>
    </row>
    <row r="318" spans="1:11" ht="24" x14ac:dyDescent="0.25">
      <c r="A318" s="3">
        <v>147</v>
      </c>
      <c r="B318" s="14" t="s">
        <v>215</v>
      </c>
      <c r="C318" s="15" t="str">
        <f>"UG-50000234-00215/15"</f>
        <v>UG-50000234-00215/15</v>
      </c>
      <c r="D318" s="15" t="str">
        <f t="shared" si="14"/>
        <v>INA INDUSTRIJA NAFTE D.D.</v>
      </c>
      <c r="E318" s="16">
        <v>42034</v>
      </c>
      <c r="F318" s="16">
        <v>42369</v>
      </c>
      <c r="G318" s="13">
        <v>6432</v>
      </c>
      <c r="H318" s="16">
        <v>42369</v>
      </c>
      <c r="I318" s="13">
        <v>0</v>
      </c>
      <c r="J318" s="13">
        <f t="shared" si="15"/>
        <v>0</v>
      </c>
      <c r="K318" s="6"/>
    </row>
    <row r="319" spans="1:11" ht="24" x14ac:dyDescent="0.25">
      <c r="A319" s="3">
        <v>148</v>
      </c>
      <c r="B319" s="14" t="s">
        <v>297</v>
      </c>
      <c r="C319" s="15" t="str">
        <f>"UG-50000234-00072/15"</f>
        <v>UG-50000234-00072/15</v>
      </c>
      <c r="D319" s="15" t="str">
        <f t="shared" si="14"/>
        <v>INA INDUSTRIJA NAFTE D.D.</v>
      </c>
      <c r="E319" s="16">
        <v>42013</v>
      </c>
      <c r="F319" s="16">
        <v>42369</v>
      </c>
      <c r="G319" s="13">
        <v>2441.2800000000002</v>
      </c>
      <c r="H319" s="16">
        <v>42369</v>
      </c>
      <c r="I319" s="13">
        <v>2441.2800000000002</v>
      </c>
      <c r="J319" s="13">
        <f t="shared" si="15"/>
        <v>3051.6000000000004</v>
      </c>
      <c r="K319" s="6"/>
    </row>
    <row r="320" spans="1:11" ht="24" x14ac:dyDescent="0.25">
      <c r="A320" s="3">
        <v>149</v>
      </c>
      <c r="B320" s="14" t="s">
        <v>298</v>
      </c>
      <c r="C320" s="15" t="str">
        <f>"UG-50000234-00076/15"</f>
        <v>UG-50000234-00076/15</v>
      </c>
      <c r="D320" s="15" t="str">
        <f t="shared" si="14"/>
        <v>INA INDUSTRIJA NAFTE D.D.</v>
      </c>
      <c r="E320" s="16">
        <v>42011</v>
      </c>
      <c r="F320" s="16">
        <v>42369</v>
      </c>
      <c r="G320" s="13">
        <v>18595.759999999998</v>
      </c>
      <c r="H320" s="16">
        <v>42369</v>
      </c>
      <c r="I320" s="13">
        <v>9018.67</v>
      </c>
      <c r="J320" s="13">
        <f t="shared" si="15"/>
        <v>11273.3375</v>
      </c>
      <c r="K320" s="6"/>
    </row>
    <row r="321" spans="1:11" ht="24" x14ac:dyDescent="0.25">
      <c r="A321" s="3">
        <v>150</v>
      </c>
      <c r="B321" s="14" t="s">
        <v>208</v>
      </c>
      <c r="C321" s="15" t="str">
        <f>"UG-50000234-00323/15"</f>
        <v>UG-50000234-00323/15</v>
      </c>
      <c r="D321" s="15" t="str">
        <f t="shared" si="14"/>
        <v>INA INDUSTRIJA NAFTE D.D.</v>
      </c>
      <c r="E321" s="16">
        <v>42024</v>
      </c>
      <c r="F321" s="16">
        <v>42369</v>
      </c>
      <c r="G321" s="13">
        <v>59605.599999999999</v>
      </c>
      <c r="H321" s="16">
        <v>42369</v>
      </c>
      <c r="I321" s="13">
        <v>40423.96</v>
      </c>
      <c r="J321" s="13">
        <f t="shared" si="15"/>
        <v>50529.95</v>
      </c>
      <c r="K321" s="6"/>
    </row>
    <row r="322" spans="1:11" ht="24" x14ac:dyDescent="0.25">
      <c r="A322" s="3">
        <v>151</v>
      </c>
      <c r="B322" s="14" t="s">
        <v>299</v>
      </c>
      <c r="C322" s="15" t="str">
        <f>"UG-50000234-00111/15"</f>
        <v>UG-50000234-00111/15</v>
      </c>
      <c r="D322" s="15" t="str">
        <f t="shared" si="14"/>
        <v>INA INDUSTRIJA NAFTE D.D.</v>
      </c>
      <c r="E322" s="16">
        <v>42081</v>
      </c>
      <c r="F322" s="16">
        <v>42369</v>
      </c>
      <c r="G322" s="13">
        <v>6628</v>
      </c>
      <c r="H322" s="16">
        <v>42369</v>
      </c>
      <c r="I322" s="13">
        <v>3134.06</v>
      </c>
      <c r="J322" s="13">
        <f t="shared" si="15"/>
        <v>3917.5749999999998</v>
      </c>
      <c r="K322" s="6"/>
    </row>
    <row r="323" spans="1:11" ht="24" x14ac:dyDescent="0.25">
      <c r="A323" s="3">
        <v>152</v>
      </c>
      <c r="B323" s="14" t="s">
        <v>300</v>
      </c>
      <c r="C323" s="15" t="str">
        <f>"UG-00402/15"</f>
        <v>UG-00402/15</v>
      </c>
      <c r="D323" s="15" t="str">
        <f t="shared" si="14"/>
        <v>INA INDUSTRIJA NAFTE D.D.</v>
      </c>
      <c r="E323" s="16">
        <v>42033</v>
      </c>
      <c r="F323" s="16">
        <v>42369</v>
      </c>
      <c r="G323" s="13">
        <v>5941.6</v>
      </c>
      <c r="H323" s="16">
        <v>42369</v>
      </c>
      <c r="I323" s="13">
        <v>992.56</v>
      </c>
      <c r="J323" s="13">
        <f t="shared" si="15"/>
        <v>1240.6999999999998</v>
      </c>
      <c r="K323" s="6"/>
    </row>
    <row r="324" spans="1:11" ht="24" x14ac:dyDescent="0.25">
      <c r="A324" s="3">
        <v>153</v>
      </c>
      <c r="B324" s="14" t="s">
        <v>301</v>
      </c>
      <c r="C324" s="15" t="str">
        <f>"UG-50000234-00247/15"</f>
        <v>UG-50000234-00247/15</v>
      </c>
      <c r="D324" s="15" t="str">
        <f t="shared" si="14"/>
        <v>INA INDUSTRIJA NAFTE D.D.</v>
      </c>
      <c r="E324" s="16">
        <v>42023</v>
      </c>
      <c r="F324" s="16">
        <v>42369</v>
      </c>
      <c r="G324" s="13">
        <v>10860.96</v>
      </c>
      <c r="H324" s="16">
        <v>42369</v>
      </c>
      <c r="I324" s="13">
        <v>2897.92</v>
      </c>
      <c r="J324" s="13">
        <f t="shared" si="15"/>
        <v>3622.4</v>
      </c>
      <c r="K324" s="6"/>
    </row>
    <row r="325" spans="1:11" ht="24" x14ac:dyDescent="0.25">
      <c r="A325" s="3">
        <v>154</v>
      </c>
      <c r="B325" s="14" t="s">
        <v>192</v>
      </c>
      <c r="C325" s="15" t="str">
        <f>"UG-50000234-00056/15"</f>
        <v>UG-50000234-00056/15</v>
      </c>
      <c r="D325" s="15" t="str">
        <f t="shared" si="14"/>
        <v>INA INDUSTRIJA NAFTE D.D.</v>
      </c>
      <c r="E325" s="16">
        <v>42013</v>
      </c>
      <c r="F325" s="16">
        <v>42369</v>
      </c>
      <c r="G325" s="13">
        <v>22810.61</v>
      </c>
      <c r="H325" s="16">
        <v>42369</v>
      </c>
      <c r="I325" s="13">
        <v>45931.44</v>
      </c>
      <c r="J325" s="13">
        <f t="shared" si="15"/>
        <v>57414.3</v>
      </c>
      <c r="K325" s="6"/>
    </row>
    <row r="326" spans="1:11" ht="24" x14ac:dyDescent="0.25">
      <c r="A326" s="3">
        <v>155</v>
      </c>
      <c r="B326" s="14" t="s">
        <v>128</v>
      </c>
      <c r="C326" s="15" t="str">
        <f>"UG-50000234-00254/15"</f>
        <v>UG-50000234-00254/15</v>
      </c>
      <c r="D326" s="15" t="str">
        <f t="shared" si="14"/>
        <v>INA INDUSTRIJA NAFTE D.D.</v>
      </c>
      <c r="E326" s="16">
        <v>42026</v>
      </c>
      <c r="F326" s="16">
        <v>42369</v>
      </c>
      <c r="G326" s="13">
        <v>20069.599999999999</v>
      </c>
      <c r="H326" s="16">
        <v>42369</v>
      </c>
      <c r="I326" s="13">
        <v>12803.23</v>
      </c>
      <c r="J326" s="13">
        <f t="shared" si="15"/>
        <v>16004.037499999999</v>
      </c>
      <c r="K326" s="6"/>
    </row>
    <row r="327" spans="1:11" ht="36" x14ac:dyDescent="0.25">
      <c r="A327" s="3">
        <v>156</v>
      </c>
      <c r="B327" s="14" t="s">
        <v>302</v>
      </c>
      <c r="C327" s="15" t="str">
        <f>"UG-50000234-00064/15"</f>
        <v>UG-50000234-00064/15</v>
      </c>
      <c r="D327" s="15" t="str">
        <f t="shared" si="14"/>
        <v>INA INDUSTRIJA NAFTE D.D.</v>
      </c>
      <c r="E327" s="16">
        <v>42006</v>
      </c>
      <c r="F327" s="16">
        <v>42369</v>
      </c>
      <c r="G327" s="13">
        <v>19991.28</v>
      </c>
      <c r="H327" s="16">
        <v>42369</v>
      </c>
      <c r="I327" s="13">
        <v>6302.17</v>
      </c>
      <c r="J327" s="13">
        <f t="shared" si="15"/>
        <v>7877.7124999999996</v>
      </c>
      <c r="K327" s="6"/>
    </row>
    <row r="328" spans="1:11" ht="24" x14ac:dyDescent="0.25">
      <c r="A328" s="3">
        <v>157</v>
      </c>
      <c r="B328" s="14" t="s">
        <v>190</v>
      </c>
      <c r="C328" s="15" t="str">
        <f>"UG-50000234-00271/15"</f>
        <v>UG-50000234-00271/15</v>
      </c>
      <c r="D328" s="15" t="str">
        <f t="shared" si="14"/>
        <v>INA INDUSTRIJA NAFTE D.D.</v>
      </c>
      <c r="E328" s="16">
        <v>42023</v>
      </c>
      <c r="F328" s="16">
        <v>42369</v>
      </c>
      <c r="G328" s="13">
        <v>12369.6</v>
      </c>
      <c r="H328" s="16">
        <v>42369</v>
      </c>
      <c r="I328" s="13">
        <v>635.5</v>
      </c>
      <c r="J328" s="13">
        <f t="shared" si="15"/>
        <v>794.375</v>
      </c>
      <c r="K328" s="6"/>
    </row>
    <row r="329" spans="1:11" ht="24" x14ac:dyDescent="0.25">
      <c r="A329" s="3">
        <v>158</v>
      </c>
      <c r="B329" s="14" t="s">
        <v>222</v>
      </c>
      <c r="C329" s="15" t="str">
        <f>"UG-50000234-00011/15"</f>
        <v>UG-50000234-00011/15</v>
      </c>
      <c r="D329" s="15" t="str">
        <f t="shared" si="14"/>
        <v>INA INDUSTRIJA NAFTE D.D.</v>
      </c>
      <c r="E329" s="16">
        <v>42004</v>
      </c>
      <c r="F329" s="16">
        <v>42369</v>
      </c>
      <c r="G329" s="13">
        <v>6432</v>
      </c>
      <c r="H329" s="16">
        <v>42369</v>
      </c>
      <c r="I329" s="13">
        <v>0</v>
      </c>
      <c r="J329" s="13">
        <f t="shared" si="15"/>
        <v>0</v>
      </c>
      <c r="K329" s="6"/>
    </row>
    <row r="330" spans="1:11" ht="24" x14ac:dyDescent="0.25">
      <c r="A330" s="3">
        <v>159</v>
      </c>
      <c r="B330" s="14" t="s">
        <v>131</v>
      </c>
      <c r="C330" s="15" t="str">
        <f>"UG-50000234-00193/15"</f>
        <v>UG-50000234-00193/15</v>
      </c>
      <c r="D330" s="15" t="str">
        <f t="shared" si="14"/>
        <v>INA INDUSTRIJA NAFTE D.D.</v>
      </c>
      <c r="E330" s="16">
        <v>42019</v>
      </c>
      <c r="F330" s="16">
        <v>42369</v>
      </c>
      <c r="G330" s="13">
        <v>4339.68</v>
      </c>
      <c r="H330" s="16">
        <v>42369</v>
      </c>
      <c r="I330" s="13">
        <v>0</v>
      </c>
      <c r="J330" s="13">
        <f t="shared" si="15"/>
        <v>0</v>
      </c>
      <c r="K330" s="6"/>
    </row>
    <row r="331" spans="1:11" ht="24" x14ac:dyDescent="0.25">
      <c r="A331" s="3">
        <v>160</v>
      </c>
      <c r="B331" s="14" t="s">
        <v>303</v>
      </c>
      <c r="C331" s="15" t="str">
        <f>"UG-50000234-00033/15"</f>
        <v>UG-50000234-00033/15</v>
      </c>
      <c r="D331" s="15" t="str">
        <f t="shared" si="14"/>
        <v>INA INDUSTRIJA NAFTE D.D.</v>
      </c>
      <c r="E331" s="16">
        <v>42024</v>
      </c>
      <c r="F331" s="16">
        <v>42369</v>
      </c>
      <c r="G331" s="13">
        <v>2587.2800000000002</v>
      </c>
      <c r="H331" s="16">
        <v>42369</v>
      </c>
      <c r="I331" s="13">
        <v>151.52000000000001</v>
      </c>
      <c r="J331" s="13">
        <f t="shared" si="15"/>
        <v>189.4</v>
      </c>
      <c r="K331" s="6"/>
    </row>
    <row r="332" spans="1:11" ht="36" x14ac:dyDescent="0.25">
      <c r="A332" s="3">
        <v>161</v>
      </c>
      <c r="B332" s="14" t="s">
        <v>130</v>
      </c>
      <c r="C332" s="15" t="str">
        <f>"UG-50000234-00152/15"</f>
        <v>UG-50000234-00152/15</v>
      </c>
      <c r="D332" s="15" t="str">
        <f t="shared" si="14"/>
        <v>INA INDUSTRIJA NAFTE D.D.</v>
      </c>
      <c r="E332" s="16">
        <v>42025</v>
      </c>
      <c r="F332" s="16">
        <v>42369</v>
      </c>
      <c r="G332" s="13">
        <v>2504.16</v>
      </c>
      <c r="H332" s="16">
        <v>42369</v>
      </c>
      <c r="I332" s="13">
        <v>0</v>
      </c>
      <c r="J332" s="13">
        <f t="shared" si="15"/>
        <v>0</v>
      </c>
      <c r="K332" s="6"/>
    </row>
    <row r="333" spans="1:11" ht="24" x14ac:dyDescent="0.25">
      <c r="A333" s="3">
        <v>162</v>
      </c>
      <c r="B333" s="14" t="s">
        <v>304</v>
      </c>
      <c r="C333" s="15" t="str">
        <f>"UG-50000234-00003/15"</f>
        <v>UG-50000234-00003/15</v>
      </c>
      <c r="D333" s="15" t="str">
        <f t="shared" si="14"/>
        <v>INA INDUSTRIJA NAFTE D.D.</v>
      </c>
      <c r="E333" s="16">
        <v>41997</v>
      </c>
      <c r="F333" s="16">
        <v>42369</v>
      </c>
      <c r="G333" s="13">
        <v>3928.64</v>
      </c>
      <c r="H333" s="16">
        <v>42369</v>
      </c>
      <c r="I333" s="13">
        <v>0</v>
      </c>
      <c r="J333" s="13">
        <f t="shared" si="15"/>
        <v>0</v>
      </c>
      <c r="K333" s="6"/>
    </row>
    <row r="334" spans="1:11" ht="36" x14ac:dyDescent="0.25">
      <c r="A334" s="3">
        <v>163</v>
      </c>
      <c r="B334" s="14" t="s">
        <v>160</v>
      </c>
      <c r="C334" s="15" t="str">
        <f>"UG-50000234-00031/15"</f>
        <v>UG-50000234-00031/15</v>
      </c>
      <c r="D334" s="15" t="str">
        <f t="shared" si="14"/>
        <v>INA INDUSTRIJA NAFTE D.D.</v>
      </c>
      <c r="E334" s="16">
        <v>42013</v>
      </c>
      <c r="F334" s="16">
        <v>42369</v>
      </c>
      <c r="G334" s="13">
        <v>11721.6</v>
      </c>
      <c r="H334" s="16">
        <v>42369</v>
      </c>
      <c r="I334" s="13">
        <v>535.11</v>
      </c>
      <c r="J334" s="13">
        <f t="shared" si="15"/>
        <v>668.88750000000005</v>
      </c>
      <c r="K334" s="6"/>
    </row>
    <row r="335" spans="1:11" ht="36" x14ac:dyDescent="0.25">
      <c r="A335" s="3">
        <v>164</v>
      </c>
      <c r="B335" s="14" t="s">
        <v>305</v>
      </c>
      <c r="C335" s="15" t="str">
        <f>"UG-50000234-00237/15"</f>
        <v>UG-50000234-00237/15</v>
      </c>
      <c r="D335" s="15" t="str">
        <f t="shared" si="14"/>
        <v>INA INDUSTRIJA NAFTE D.D.</v>
      </c>
      <c r="E335" s="16">
        <v>42027</v>
      </c>
      <c r="F335" s="16">
        <v>42369</v>
      </c>
      <c r="G335" s="13">
        <v>9516</v>
      </c>
      <c r="H335" s="16">
        <v>42369</v>
      </c>
      <c r="I335" s="13">
        <v>5361.49</v>
      </c>
      <c r="J335" s="13">
        <f t="shared" si="15"/>
        <v>6701.8624999999993</v>
      </c>
      <c r="K335" s="6"/>
    </row>
    <row r="336" spans="1:11" ht="36" x14ac:dyDescent="0.25">
      <c r="A336" s="3">
        <v>165</v>
      </c>
      <c r="B336" s="14" t="s">
        <v>306</v>
      </c>
      <c r="C336" s="15" t="str">
        <f>"UG-50000234-00144/15"</f>
        <v>UG-50000234-00144/15</v>
      </c>
      <c r="D336" s="15" t="str">
        <f t="shared" si="14"/>
        <v>INA INDUSTRIJA NAFTE D.D.</v>
      </c>
      <c r="E336" s="16">
        <v>42018</v>
      </c>
      <c r="F336" s="16">
        <v>42369</v>
      </c>
      <c r="G336" s="13">
        <v>5111.04</v>
      </c>
      <c r="H336" s="16">
        <v>42369</v>
      </c>
      <c r="I336" s="13">
        <v>36211.199999999997</v>
      </c>
      <c r="J336" s="13">
        <f t="shared" si="15"/>
        <v>45264</v>
      </c>
      <c r="K336" s="6"/>
    </row>
    <row r="337" spans="1:11" ht="36" x14ac:dyDescent="0.25">
      <c r="A337" s="3">
        <v>166</v>
      </c>
      <c r="B337" s="14" t="s">
        <v>174</v>
      </c>
      <c r="C337" s="15" t="str">
        <f>"UG-50000234/00260/15"</f>
        <v>UG-50000234/00260/15</v>
      </c>
      <c r="D337" s="15" t="str">
        <f t="shared" si="14"/>
        <v>INA INDUSTRIJA NAFTE D.D.</v>
      </c>
      <c r="E337" s="16">
        <v>42023</v>
      </c>
      <c r="F337" s="16">
        <v>42369</v>
      </c>
      <c r="G337" s="13">
        <v>2467.1999999999998</v>
      </c>
      <c r="H337" s="16">
        <v>42369</v>
      </c>
      <c r="I337" s="13">
        <v>136.24</v>
      </c>
      <c r="J337" s="13">
        <f t="shared" si="15"/>
        <v>170.3</v>
      </c>
      <c r="K337" s="6"/>
    </row>
    <row r="338" spans="1:11" ht="24" x14ac:dyDescent="0.25">
      <c r="A338" s="3">
        <v>167</v>
      </c>
      <c r="B338" s="14" t="s">
        <v>307</v>
      </c>
      <c r="C338" s="15" t="str">
        <f>"UG-50000234-00066/15"</f>
        <v>UG-50000234-00066/15</v>
      </c>
      <c r="D338" s="15" t="str">
        <f t="shared" si="14"/>
        <v>INA INDUSTRIJA NAFTE D.D.</v>
      </c>
      <c r="E338" s="16">
        <v>42017</v>
      </c>
      <c r="F338" s="16">
        <v>42369</v>
      </c>
      <c r="G338" s="13">
        <v>91111.39</v>
      </c>
      <c r="H338" s="16">
        <v>42369</v>
      </c>
      <c r="I338" s="13">
        <v>108036.17</v>
      </c>
      <c r="J338" s="13">
        <f t="shared" si="15"/>
        <v>135045.21249999999</v>
      </c>
      <c r="K338" s="6"/>
    </row>
    <row r="339" spans="1:11" ht="24" x14ac:dyDescent="0.25">
      <c r="A339" s="3">
        <v>168</v>
      </c>
      <c r="B339" s="14" t="s">
        <v>308</v>
      </c>
      <c r="C339" s="15" t="str">
        <f>"UG-50000234-00035/15"</f>
        <v>UG-50000234-00035/15</v>
      </c>
      <c r="D339" s="15" t="str">
        <f t="shared" si="14"/>
        <v>INA INDUSTRIJA NAFTE D.D.</v>
      </c>
      <c r="E339" s="16">
        <v>42005</v>
      </c>
      <c r="F339" s="16">
        <v>42369</v>
      </c>
      <c r="G339" s="13">
        <v>107928.78</v>
      </c>
      <c r="H339" s="16">
        <v>42369</v>
      </c>
      <c r="I339" s="40">
        <v>0</v>
      </c>
      <c r="J339" s="40">
        <f t="shared" si="15"/>
        <v>0</v>
      </c>
      <c r="K339" s="6"/>
    </row>
    <row r="340" spans="1:11" ht="24" x14ac:dyDescent="0.25">
      <c r="A340" s="3">
        <v>169</v>
      </c>
      <c r="B340" s="14" t="s">
        <v>108</v>
      </c>
      <c r="C340" s="15" t="str">
        <f>"1/15-2"</f>
        <v>1/15-2</v>
      </c>
      <c r="D340" s="15" t="str">
        <f t="shared" si="14"/>
        <v>INA INDUSTRIJA NAFTE D.D.</v>
      </c>
      <c r="E340" s="16">
        <v>42013</v>
      </c>
      <c r="F340" s="16">
        <v>42369</v>
      </c>
      <c r="G340" s="13">
        <v>110965.68</v>
      </c>
      <c r="H340" s="16">
        <v>42369</v>
      </c>
      <c r="I340" s="13">
        <v>145719.35</v>
      </c>
      <c r="J340" s="13">
        <f t="shared" si="15"/>
        <v>182149.1875</v>
      </c>
      <c r="K340" s="6"/>
    </row>
    <row r="341" spans="1:11" ht="24" x14ac:dyDescent="0.25">
      <c r="A341" s="3">
        <v>170</v>
      </c>
      <c r="B341" s="14" t="s">
        <v>309</v>
      </c>
      <c r="C341" s="15" t="str">
        <f>"UG-50000234-00190/15"</f>
        <v>UG-50000234-00190/15</v>
      </c>
      <c r="D341" s="15" t="str">
        <f t="shared" si="14"/>
        <v>INA INDUSTRIJA NAFTE D.D.</v>
      </c>
      <c r="E341" s="16">
        <v>42019</v>
      </c>
      <c r="F341" s="16">
        <v>42369</v>
      </c>
      <c r="G341" s="13">
        <v>8920.7999999999993</v>
      </c>
      <c r="H341" s="16">
        <v>42369</v>
      </c>
      <c r="I341" s="13">
        <v>2443.8000000000002</v>
      </c>
      <c r="J341" s="13">
        <f t="shared" si="15"/>
        <v>3054.75</v>
      </c>
      <c r="K341" s="6"/>
    </row>
    <row r="342" spans="1:11" ht="24" x14ac:dyDescent="0.25">
      <c r="A342" s="3">
        <v>171</v>
      </c>
      <c r="B342" s="14" t="s">
        <v>310</v>
      </c>
      <c r="C342" s="15" t="str">
        <f>"UG-50000234-00359/15"</f>
        <v>UG-50000234-00359/15</v>
      </c>
      <c r="D342" s="15" t="str">
        <f t="shared" si="14"/>
        <v>INA INDUSTRIJA NAFTE D.D.</v>
      </c>
      <c r="E342" s="16">
        <v>42030</v>
      </c>
      <c r="F342" s="16">
        <v>42369</v>
      </c>
      <c r="G342" s="13">
        <v>4123.6000000000004</v>
      </c>
      <c r="H342" s="16">
        <v>42369</v>
      </c>
      <c r="I342" s="13">
        <v>3163.99</v>
      </c>
      <c r="J342" s="13">
        <f t="shared" si="15"/>
        <v>3954.9874999999997</v>
      </c>
      <c r="K342" s="6"/>
    </row>
    <row r="343" spans="1:11" ht="24" x14ac:dyDescent="0.25">
      <c r="A343" s="3">
        <v>172</v>
      </c>
      <c r="B343" s="14" t="s">
        <v>40</v>
      </c>
      <c r="C343" s="15" t="str">
        <f>"3-2015/P+VP"</f>
        <v>3-2015/P+VP</v>
      </c>
      <c r="D343" s="15" t="str">
        <f t="shared" si="14"/>
        <v>INA INDUSTRIJA NAFTE D.D.</v>
      </c>
      <c r="E343" s="16">
        <v>42004</v>
      </c>
      <c r="F343" s="16">
        <v>42369</v>
      </c>
      <c r="G343" s="13">
        <v>86567.78</v>
      </c>
      <c r="H343" s="16">
        <v>42369</v>
      </c>
      <c r="I343" s="13">
        <v>77512.67</v>
      </c>
      <c r="J343" s="13">
        <f t="shared" si="15"/>
        <v>96890.837499999994</v>
      </c>
      <c r="K343" s="6"/>
    </row>
    <row r="344" spans="1:11" ht="24" x14ac:dyDescent="0.25">
      <c r="A344" s="3">
        <v>173</v>
      </c>
      <c r="B344" s="14" t="s">
        <v>198</v>
      </c>
      <c r="C344" s="15" t="str">
        <f>"UG-50000234-00106/15"</f>
        <v>UG-50000234-00106/15</v>
      </c>
      <c r="D344" s="15" t="str">
        <f t="shared" si="14"/>
        <v>INA INDUSTRIJA NAFTE D.D.</v>
      </c>
      <c r="E344" s="16">
        <v>42023</v>
      </c>
      <c r="F344" s="16">
        <v>42369</v>
      </c>
      <c r="G344" s="13">
        <v>44824.800000000003</v>
      </c>
      <c r="H344" s="16">
        <v>42369</v>
      </c>
      <c r="I344" s="13">
        <v>42352.29</v>
      </c>
      <c r="J344" s="13">
        <f t="shared" si="15"/>
        <v>52940.362500000003</v>
      </c>
      <c r="K344" s="6"/>
    </row>
    <row r="345" spans="1:11" ht="24" x14ac:dyDescent="0.25">
      <c r="A345" s="3">
        <v>174</v>
      </c>
      <c r="B345" s="14" t="s">
        <v>197</v>
      </c>
      <c r="C345" s="15" t="str">
        <f>"UG-50000234-00104/15"</f>
        <v>UG-50000234-00104/15</v>
      </c>
      <c r="D345" s="15" t="str">
        <f t="shared" si="14"/>
        <v>INA INDUSTRIJA NAFTE D.D.</v>
      </c>
      <c r="E345" s="16">
        <v>42026</v>
      </c>
      <c r="F345" s="16">
        <v>42369</v>
      </c>
      <c r="G345" s="13">
        <v>74800</v>
      </c>
      <c r="H345" s="16">
        <v>42369</v>
      </c>
      <c r="I345" s="13">
        <v>29972.28</v>
      </c>
      <c r="J345" s="13">
        <f t="shared" si="15"/>
        <v>37465.35</v>
      </c>
      <c r="K345" s="6"/>
    </row>
    <row r="346" spans="1:11" ht="24" x14ac:dyDescent="0.25">
      <c r="A346" s="3">
        <v>175</v>
      </c>
      <c r="B346" s="14" t="s">
        <v>311</v>
      </c>
      <c r="C346" s="15" t="str">
        <f>"UG-50000234-00245/15"</f>
        <v>UG-50000234-00245/15</v>
      </c>
      <c r="D346" s="15" t="str">
        <f t="shared" si="14"/>
        <v>INA INDUSTRIJA NAFTE D.D.</v>
      </c>
      <c r="E346" s="16">
        <v>42005</v>
      </c>
      <c r="F346" s="16">
        <v>42369</v>
      </c>
      <c r="G346" s="13">
        <v>6258.4</v>
      </c>
      <c r="H346" s="16">
        <v>42369</v>
      </c>
      <c r="I346" s="13">
        <v>6000</v>
      </c>
      <c r="J346" s="13">
        <f t="shared" si="15"/>
        <v>7500</v>
      </c>
      <c r="K346" s="6"/>
    </row>
    <row r="347" spans="1:11" ht="24" x14ac:dyDescent="0.25">
      <c r="A347" s="3">
        <v>176</v>
      </c>
      <c r="B347" s="14" t="s">
        <v>72</v>
      </c>
      <c r="C347" s="15" t="str">
        <f>"UG-50000234-00109/15"</f>
        <v>UG-50000234-00109/15</v>
      </c>
      <c r="D347" s="15" t="str">
        <f t="shared" ref="D347:D410" si="16">CONCATENATE("INA INDUSTRIJA NAFTE D.D.")</f>
        <v>INA INDUSTRIJA NAFTE D.D.</v>
      </c>
      <c r="E347" s="16">
        <v>42026</v>
      </c>
      <c r="F347" s="16">
        <v>42369</v>
      </c>
      <c r="G347" s="13">
        <v>14860</v>
      </c>
      <c r="H347" s="16">
        <v>42369</v>
      </c>
      <c r="I347" s="13">
        <v>2271</v>
      </c>
      <c r="J347" s="13">
        <f t="shared" si="15"/>
        <v>2838.75</v>
      </c>
      <c r="K347" s="6"/>
    </row>
    <row r="348" spans="1:11" ht="24" x14ac:dyDescent="0.25">
      <c r="A348" s="3">
        <v>177</v>
      </c>
      <c r="B348" s="14" t="s">
        <v>71</v>
      </c>
      <c r="C348" s="15" t="str">
        <f>"UG-50000234-00068/15"</f>
        <v>UG-50000234-00068/15</v>
      </c>
      <c r="D348" s="15" t="str">
        <f t="shared" si="16"/>
        <v>INA INDUSTRIJA NAFTE D.D.</v>
      </c>
      <c r="E348" s="16">
        <v>42013</v>
      </c>
      <c r="F348" s="16">
        <v>42369</v>
      </c>
      <c r="G348" s="13">
        <v>11290.92</v>
      </c>
      <c r="H348" s="16">
        <v>42369</v>
      </c>
      <c r="I348" s="13">
        <v>4342.28</v>
      </c>
      <c r="J348" s="13">
        <f t="shared" si="15"/>
        <v>5427.8499999999995</v>
      </c>
      <c r="K348" s="6"/>
    </row>
    <row r="349" spans="1:11" ht="24" x14ac:dyDescent="0.25">
      <c r="A349" s="3">
        <v>178</v>
      </c>
      <c r="B349" s="14" t="s">
        <v>196</v>
      </c>
      <c r="C349" s="15" t="str">
        <f>"UG-50000234-00269/15"</f>
        <v>UG-50000234-00269/15</v>
      </c>
      <c r="D349" s="15" t="str">
        <f t="shared" si="16"/>
        <v>INA INDUSTRIJA NAFTE D.D.</v>
      </c>
      <c r="E349" s="16">
        <v>42027</v>
      </c>
      <c r="F349" s="16">
        <v>42722</v>
      </c>
      <c r="G349" s="13">
        <v>17738.43</v>
      </c>
      <c r="H349" s="16">
        <v>42722</v>
      </c>
      <c r="I349" s="13">
        <v>10626.38</v>
      </c>
      <c r="J349" s="13">
        <f t="shared" si="15"/>
        <v>13282.974999999999</v>
      </c>
      <c r="K349" s="6"/>
    </row>
    <row r="350" spans="1:11" ht="24" x14ac:dyDescent="0.25">
      <c r="A350" s="3">
        <v>179</v>
      </c>
      <c r="B350" s="14" t="s">
        <v>38</v>
      </c>
      <c r="C350" s="15" t="str">
        <f>"UG-50000234-00090/15"</f>
        <v>UG-50000234-00090/15</v>
      </c>
      <c r="D350" s="15" t="str">
        <f t="shared" si="16"/>
        <v>INA INDUSTRIJA NAFTE D.D.</v>
      </c>
      <c r="E350" s="16">
        <v>42016</v>
      </c>
      <c r="F350" s="16">
        <v>42722</v>
      </c>
      <c r="G350" s="13">
        <v>104660</v>
      </c>
      <c r="H350" s="16">
        <v>42722</v>
      </c>
      <c r="I350" s="13">
        <v>24700.75</v>
      </c>
      <c r="J350" s="13">
        <f t="shared" si="15"/>
        <v>30875.9375</v>
      </c>
      <c r="K350" s="6"/>
    </row>
    <row r="351" spans="1:11" ht="24" x14ac:dyDescent="0.25">
      <c r="A351" s="3">
        <v>180</v>
      </c>
      <c r="B351" s="14" t="s">
        <v>312</v>
      </c>
      <c r="C351" s="15" t="str">
        <f>"UG-50000234-00013/15"</f>
        <v>UG-50000234-00013/15</v>
      </c>
      <c r="D351" s="15" t="str">
        <f t="shared" si="16"/>
        <v>INA INDUSTRIJA NAFTE D.D.</v>
      </c>
      <c r="E351" s="16">
        <v>42005</v>
      </c>
      <c r="F351" s="16">
        <v>42369</v>
      </c>
      <c r="G351" s="13">
        <v>5898.96</v>
      </c>
      <c r="H351" s="16">
        <v>42369</v>
      </c>
      <c r="I351" s="13">
        <v>7673.48</v>
      </c>
      <c r="J351" s="13">
        <f t="shared" si="15"/>
        <v>9591.8499999999985</v>
      </c>
      <c r="K351" s="6"/>
    </row>
    <row r="352" spans="1:11" ht="24" x14ac:dyDescent="0.25">
      <c r="A352" s="3">
        <v>181</v>
      </c>
      <c r="B352" s="14" t="s">
        <v>313</v>
      </c>
      <c r="C352" s="15" t="str">
        <f>"UG-50000234-00001/15"</f>
        <v>UG-50000234-00001/15</v>
      </c>
      <c r="D352" s="15" t="str">
        <f t="shared" si="16"/>
        <v>INA INDUSTRIJA NAFTE D.D.</v>
      </c>
      <c r="E352" s="16">
        <v>42027</v>
      </c>
      <c r="F352" s="16">
        <v>42369</v>
      </c>
      <c r="G352" s="13">
        <v>16778.8</v>
      </c>
      <c r="H352" s="16">
        <v>42369</v>
      </c>
      <c r="I352" s="13">
        <v>9958.94</v>
      </c>
      <c r="J352" s="13">
        <f t="shared" si="15"/>
        <v>12448.675000000001</v>
      </c>
      <c r="K352" s="6"/>
    </row>
    <row r="353" spans="1:11" ht="24" x14ac:dyDescent="0.25">
      <c r="A353" s="3">
        <v>182</v>
      </c>
      <c r="B353" s="14" t="s">
        <v>314</v>
      </c>
      <c r="C353" s="15" t="str">
        <f>"UG-50000234-00241/15"</f>
        <v>UG-50000234-00241/15</v>
      </c>
      <c r="D353" s="15" t="str">
        <f t="shared" si="16"/>
        <v>INA INDUSTRIJA NAFTE D.D.</v>
      </c>
      <c r="E353" s="16">
        <v>42011</v>
      </c>
      <c r="F353" s="16">
        <v>42722</v>
      </c>
      <c r="G353" s="13">
        <v>394750.4</v>
      </c>
      <c r="H353" s="16">
        <v>42722</v>
      </c>
      <c r="I353" s="13">
        <v>16647.87</v>
      </c>
      <c r="J353" s="13">
        <f t="shared" si="15"/>
        <v>20809.837499999998</v>
      </c>
      <c r="K353" s="6"/>
    </row>
    <row r="354" spans="1:11" ht="24" x14ac:dyDescent="0.25">
      <c r="A354" s="3">
        <v>183</v>
      </c>
      <c r="B354" s="14" t="s">
        <v>315</v>
      </c>
      <c r="C354" s="15" t="str">
        <f>"UG-50000234-00148/15"</f>
        <v>UG-50000234-00148/15</v>
      </c>
      <c r="D354" s="15" t="str">
        <f t="shared" si="16"/>
        <v>INA INDUSTRIJA NAFTE D.D.</v>
      </c>
      <c r="E354" s="16">
        <v>42025</v>
      </c>
      <c r="F354" s="16">
        <v>42369</v>
      </c>
      <c r="G354" s="13">
        <v>1268.8</v>
      </c>
      <c r="H354" s="16">
        <v>42369</v>
      </c>
      <c r="I354" s="13">
        <v>1158.8</v>
      </c>
      <c r="J354" s="13">
        <f t="shared" si="15"/>
        <v>1448.5</v>
      </c>
      <c r="K354" s="6"/>
    </row>
    <row r="355" spans="1:11" ht="24" x14ac:dyDescent="0.25">
      <c r="A355" s="3">
        <v>184</v>
      </c>
      <c r="B355" s="14" t="s">
        <v>316</v>
      </c>
      <c r="C355" s="15" t="str">
        <f>"UG-50000234-00302/15"</f>
        <v>UG-50000234-00302/15</v>
      </c>
      <c r="D355" s="15" t="str">
        <f t="shared" si="16"/>
        <v>INA INDUSTRIJA NAFTE D.D.</v>
      </c>
      <c r="E355" s="16">
        <v>42006</v>
      </c>
      <c r="F355" s="16">
        <v>42735</v>
      </c>
      <c r="G355" s="13">
        <v>12864</v>
      </c>
      <c r="H355" s="16">
        <v>42735</v>
      </c>
      <c r="I355" s="13">
        <v>0</v>
      </c>
      <c r="J355" s="13">
        <f t="shared" si="15"/>
        <v>0</v>
      </c>
      <c r="K355" s="6"/>
    </row>
    <row r="356" spans="1:11" ht="24" x14ac:dyDescent="0.25">
      <c r="A356" s="3">
        <v>185</v>
      </c>
      <c r="B356" s="14" t="s">
        <v>185</v>
      </c>
      <c r="C356" s="15" t="str">
        <f>"UG-50000234-00300/15"</f>
        <v>UG-50000234-00300/15</v>
      </c>
      <c r="D356" s="15" t="str">
        <f t="shared" si="16"/>
        <v>INA INDUSTRIJA NAFTE D.D.</v>
      </c>
      <c r="E356" s="16">
        <v>42024</v>
      </c>
      <c r="F356" s="16">
        <v>42369</v>
      </c>
      <c r="G356" s="13">
        <v>3172</v>
      </c>
      <c r="H356" s="16">
        <v>42369</v>
      </c>
      <c r="I356" s="13">
        <v>2197.84</v>
      </c>
      <c r="J356" s="13">
        <f t="shared" si="15"/>
        <v>2747.3</v>
      </c>
      <c r="K356" s="6"/>
    </row>
    <row r="357" spans="1:11" ht="24" x14ac:dyDescent="0.25">
      <c r="A357" s="3">
        <v>186</v>
      </c>
      <c r="B357" s="14" t="s">
        <v>186</v>
      </c>
      <c r="C357" s="15" t="str">
        <f>"UG-50000234-00368/15"</f>
        <v>UG-50000234-00368/15</v>
      </c>
      <c r="D357" s="15" t="str">
        <f t="shared" si="16"/>
        <v>INA INDUSTRIJA NAFTE D.D.</v>
      </c>
      <c r="E357" s="16">
        <v>42005</v>
      </c>
      <c r="F357" s="16">
        <v>42369</v>
      </c>
      <c r="G357" s="13">
        <v>16080</v>
      </c>
      <c r="H357" s="16">
        <v>42369</v>
      </c>
      <c r="I357" s="13">
        <v>0</v>
      </c>
      <c r="J357" s="13">
        <f t="shared" ref="J357:J413" si="17">I357*1.25</f>
        <v>0</v>
      </c>
      <c r="K357" s="6"/>
    </row>
    <row r="358" spans="1:11" ht="24" x14ac:dyDescent="0.25">
      <c r="A358" s="3">
        <v>187</v>
      </c>
      <c r="B358" s="14" t="s">
        <v>317</v>
      </c>
      <c r="C358" s="15" t="str">
        <f>"UG-50000234-00015/15"</f>
        <v>UG-50000234-00015/15</v>
      </c>
      <c r="D358" s="15" t="str">
        <f t="shared" si="16"/>
        <v>INA INDUSTRIJA NAFTE D.D.</v>
      </c>
      <c r="E358" s="16">
        <v>42004</v>
      </c>
      <c r="F358" s="16">
        <v>42720</v>
      </c>
      <c r="G358" s="13">
        <v>3987</v>
      </c>
      <c r="H358" s="16">
        <v>42720</v>
      </c>
      <c r="I358" s="13">
        <v>1759.05</v>
      </c>
      <c r="J358" s="13">
        <f t="shared" si="17"/>
        <v>2198.8125</v>
      </c>
      <c r="K358" s="6"/>
    </row>
    <row r="359" spans="1:11" ht="24" x14ac:dyDescent="0.25">
      <c r="A359" s="3">
        <v>188</v>
      </c>
      <c r="B359" s="14" t="s">
        <v>318</v>
      </c>
      <c r="C359" s="15" t="str">
        <f>"UG-50000234/-00060/15"</f>
        <v>UG-50000234/-00060/15</v>
      </c>
      <c r="D359" s="15" t="str">
        <f t="shared" si="16"/>
        <v>INA INDUSTRIJA NAFTE D.D.</v>
      </c>
      <c r="E359" s="16">
        <v>42013</v>
      </c>
      <c r="F359" s="16">
        <v>42369</v>
      </c>
      <c r="G359" s="13">
        <v>4558.3999999999996</v>
      </c>
      <c r="H359" s="16">
        <v>42369</v>
      </c>
      <c r="I359" s="13">
        <v>7332.12</v>
      </c>
      <c r="J359" s="13">
        <f t="shared" si="17"/>
        <v>9165.15</v>
      </c>
      <c r="K359" s="6"/>
    </row>
    <row r="360" spans="1:11" ht="24" x14ac:dyDescent="0.25">
      <c r="A360" s="3">
        <v>189</v>
      </c>
      <c r="B360" s="14" t="s">
        <v>319</v>
      </c>
      <c r="C360" s="15" t="str">
        <f>"17-SU-261/2014-1"</f>
        <v>17-SU-261/2014-1</v>
      </c>
      <c r="D360" s="15" t="str">
        <f t="shared" si="16"/>
        <v>INA INDUSTRIJA NAFTE D.D.</v>
      </c>
      <c r="E360" s="16">
        <v>42003</v>
      </c>
      <c r="F360" s="16">
        <v>42369</v>
      </c>
      <c r="G360" s="13">
        <v>4623.92</v>
      </c>
      <c r="H360" s="16">
        <v>42369</v>
      </c>
      <c r="I360" s="13">
        <v>0</v>
      </c>
      <c r="J360" s="13">
        <f t="shared" si="17"/>
        <v>0</v>
      </c>
      <c r="K360" s="6"/>
    </row>
    <row r="361" spans="1:11" ht="24" x14ac:dyDescent="0.25">
      <c r="A361" s="3">
        <v>190</v>
      </c>
      <c r="B361" s="14" t="s">
        <v>320</v>
      </c>
      <c r="C361" s="15" t="str">
        <f>"UG-50000234-00135/15"</f>
        <v>UG-50000234-00135/15</v>
      </c>
      <c r="D361" s="15" t="str">
        <f t="shared" si="16"/>
        <v>INA INDUSTRIJA NAFTE D.D.</v>
      </c>
      <c r="E361" s="16">
        <v>42023</v>
      </c>
      <c r="F361" s="16">
        <v>42369</v>
      </c>
      <c r="G361" s="13">
        <v>1533.31</v>
      </c>
      <c r="H361" s="16">
        <v>42369</v>
      </c>
      <c r="I361" s="13">
        <v>472.6</v>
      </c>
      <c r="J361" s="13">
        <f t="shared" si="17"/>
        <v>590.75</v>
      </c>
      <c r="K361" s="6"/>
    </row>
    <row r="362" spans="1:11" ht="24" x14ac:dyDescent="0.25">
      <c r="A362" s="3">
        <v>191</v>
      </c>
      <c r="B362" s="14" t="s">
        <v>321</v>
      </c>
      <c r="C362" s="15" t="str">
        <f>"UG-50000234-00041/15"</f>
        <v>UG-50000234-00041/15</v>
      </c>
      <c r="D362" s="15" t="str">
        <f t="shared" si="16"/>
        <v>INA INDUSTRIJA NAFTE D.D.</v>
      </c>
      <c r="E362" s="16">
        <v>42012</v>
      </c>
      <c r="F362" s="16">
        <v>42369</v>
      </c>
      <c r="G362" s="13">
        <v>19536</v>
      </c>
      <c r="H362" s="16">
        <v>42369</v>
      </c>
      <c r="I362" s="13">
        <v>18568.61</v>
      </c>
      <c r="J362" s="13">
        <f t="shared" si="17"/>
        <v>23210.762500000001</v>
      </c>
      <c r="K362" s="6"/>
    </row>
    <row r="363" spans="1:11" ht="24" x14ac:dyDescent="0.25">
      <c r="A363" s="3">
        <v>192</v>
      </c>
      <c r="B363" s="14" t="s">
        <v>322</v>
      </c>
      <c r="C363" s="15" t="str">
        <f>"UG-50000234-00320/15"</f>
        <v>UG-50000234-00320/15</v>
      </c>
      <c r="D363" s="15" t="str">
        <f t="shared" si="16"/>
        <v>INA INDUSTRIJA NAFTE D.D.</v>
      </c>
      <c r="E363" s="16">
        <v>42026</v>
      </c>
      <c r="F363" s="16">
        <v>42369</v>
      </c>
      <c r="G363" s="13">
        <v>1753.2</v>
      </c>
      <c r="H363" s="16">
        <v>42369</v>
      </c>
      <c r="I363" s="13">
        <v>881.6</v>
      </c>
      <c r="J363" s="13">
        <f t="shared" si="17"/>
        <v>1102</v>
      </c>
      <c r="K363" s="6"/>
    </row>
    <row r="364" spans="1:11" ht="24" x14ac:dyDescent="0.25">
      <c r="A364" s="3">
        <v>193</v>
      </c>
      <c r="B364" s="14" t="s">
        <v>323</v>
      </c>
      <c r="C364" s="15" t="str">
        <f>"UG-50000234-00314/15"</f>
        <v>UG-50000234-00314/15</v>
      </c>
      <c r="D364" s="15" t="str">
        <f t="shared" si="16"/>
        <v>INA INDUSTRIJA NAFTE D.D.</v>
      </c>
      <c r="E364" s="16">
        <v>42024</v>
      </c>
      <c r="F364" s="16">
        <v>42369</v>
      </c>
      <c r="G364" s="13">
        <v>634.4</v>
      </c>
      <c r="H364" s="16">
        <v>42369</v>
      </c>
      <c r="I364" s="13">
        <v>0</v>
      </c>
      <c r="J364" s="13">
        <f t="shared" si="17"/>
        <v>0</v>
      </c>
      <c r="K364" s="6"/>
    </row>
    <row r="365" spans="1:11" ht="24" x14ac:dyDescent="0.25">
      <c r="A365" s="3">
        <v>194</v>
      </c>
      <c r="B365" s="14" t="s">
        <v>324</v>
      </c>
      <c r="C365" s="15" t="str">
        <f>"UG-50000234-00316/15"</f>
        <v>UG-50000234-00316/15</v>
      </c>
      <c r="D365" s="15" t="str">
        <f t="shared" si="16"/>
        <v>INA INDUSTRIJA NAFTE D.D.</v>
      </c>
      <c r="E365" s="16">
        <v>42030</v>
      </c>
      <c r="F365" s="16">
        <v>42369</v>
      </c>
      <c r="G365" s="13">
        <v>2729.6</v>
      </c>
      <c r="H365" s="16">
        <v>42369</v>
      </c>
      <c r="I365" s="13">
        <v>641.55999999999995</v>
      </c>
      <c r="J365" s="13">
        <f t="shared" si="17"/>
        <v>801.94999999999993</v>
      </c>
      <c r="K365" s="6"/>
    </row>
    <row r="366" spans="1:11" ht="24" x14ac:dyDescent="0.25">
      <c r="A366" s="3">
        <v>195</v>
      </c>
      <c r="B366" s="14" t="s">
        <v>325</v>
      </c>
      <c r="C366" s="15" t="str">
        <f>"UG-50000234-00279/15"</f>
        <v>UG-50000234-00279/15</v>
      </c>
      <c r="D366" s="15" t="str">
        <f t="shared" si="16"/>
        <v>INA INDUSTRIJA NAFTE D.D.</v>
      </c>
      <c r="E366" s="16">
        <v>42019</v>
      </c>
      <c r="F366" s="16">
        <v>42369</v>
      </c>
      <c r="G366" s="13">
        <v>4978.5600000000004</v>
      </c>
      <c r="H366" s="16">
        <v>42369</v>
      </c>
      <c r="I366" s="13">
        <v>5067.67</v>
      </c>
      <c r="J366" s="13">
        <f t="shared" si="17"/>
        <v>6334.5874999999996</v>
      </c>
      <c r="K366" s="6"/>
    </row>
    <row r="367" spans="1:11" ht="24" x14ac:dyDescent="0.25">
      <c r="A367" s="3">
        <v>196</v>
      </c>
      <c r="B367" s="14" t="s">
        <v>326</v>
      </c>
      <c r="C367" s="15" t="str">
        <f>"UG-50000234-00223/15"</f>
        <v>UG-50000234-00223/15</v>
      </c>
      <c r="D367" s="15" t="str">
        <f t="shared" si="16"/>
        <v>INA INDUSTRIJA NAFTE D.D.</v>
      </c>
      <c r="E367" s="16">
        <v>42030</v>
      </c>
      <c r="F367" s="16">
        <v>42369</v>
      </c>
      <c r="G367" s="13">
        <v>15860</v>
      </c>
      <c r="H367" s="16">
        <v>42369</v>
      </c>
      <c r="I367" s="13">
        <v>1927.61</v>
      </c>
      <c r="J367" s="13">
        <f t="shared" si="17"/>
        <v>2409.5124999999998</v>
      </c>
      <c r="K367" s="6"/>
    </row>
    <row r="368" spans="1:11" ht="24" x14ac:dyDescent="0.25">
      <c r="A368" s="3">
        <v>197</v>
      </c>
      <c r="B368" s="14" t="s">
        <v>327</v>
      </c>
      <c r="C368" s="15" t="str">
        <f>"UG-50000234-00374/15"</f>
        <v>UG-50000234-00374/15</v>
      </c>
      <c r="D368" s="15" t="str">
        <f t="shared" si="16"/>
        <v>INA INDUSTRIJA NAFTE D.D.</v>
      </c>
      <c r="E368" s="16">
        <v>42027</v>
      </c>
      <c r="F368" s="16">
        <v>42369</v>
      </c>
      <c r="G368" s="13">
        <v>3172</v>
      </c>
      <c r="H368" s="16">
        <v>42369</v>
      </c>
      <c r="I368" s="13">
        <v>0</v>
      </c>
      <c r="J368" s="13">
        <f t="shared" si="17"/>
        <v>0</v>
      </c>
      <c r="K368" s="6"/>
    </row>
    <row r="369" spans="1:11" ht="36" x14ac:dyDescent="0.25">
      <c r="A369" s="3">
        <v>198</v>
      </c>
      <c r="B369" s="14" t="s">
        <v>328</v>
      </c>
      <c r="C369" s="15" t="str">
        <f>"UG-50000234-00239/15"</f>
        <v>UG-50000234-00239/15</v>
      </c>
      <c r="D369" s="15" t="str">
        <f t="shared" si="16"/>
        <v>INA INDUSTRIJA NAFTE D.D.</v>
      </c>
      <c r="E369" s="16">
        <v>42023</v>
      </c>
      <c r="F369" s="16">
        <v>42369</v>
      </c>
      <c r="G369" s="13">
        <v>7445.76</v>
      </c>
      <c r="H369" s="16">
        <v>42369</v>
      </c>
      <c r="I369" s="13">
        <v>4678.41</v>
      </c>
      <c r="J369" s="13">
        <f t="shared" si="17"/>
        <v>5848.0124999999998</v>
      </c>
      <c r="K369" s="6"/>
    </row>
    <row r="370" spans="1:11" ht="24" x14ac:dyDescent="0.25">
      <c r="A370" s="3">
        <v>199</v>
      </c>
      <c r="B370" s="14" t="s">
        <v>329</v>
      </c>
      <c r="C370" s="15" t="str">
        <f>"UG-50000234-00070/15"</f>
        <v>UG-50000234-00070/15</v>
      </c>
      <c r="D370" s="15" t="str">
        <f t="shared" si="16"/>
        <v>INA INDUSTRIJA NAFTE D.D.</v>
      </c>
      <c r="E370" s="16">
        <v>42016</v>
      </c>
      <c r="F370" s="16">
        <v>42722</v>
      </c>
      <c r="G370" s="13">
        <v>16280</v>
      </c>
      <c r="H370" s="16">
        <v>42722</v>
      </c>
      <c r="I370" s="13">
        <v>3750</v>
      </c>
      <c r="J370" s="13">
        <f t="shared" si="17"/>
        <v>4687.5</v>
      </c>
      <c r="K370" s="6"/>
    </row>
    <row r="371" spans="1:11" ht="24" x14ac:dyDescent="0.25">
      <c r="A371" s="3">
        <v>200</v>
      </c>
      <c r="B371" s="14" t="s">
        <v>330</v>
      </c>
      <c r="C371" s="15" t="str">
        <f>"UG-00408/15"</f>
        <v>UG-00408/15</v>
      </c>
      <c r="D371" s="15" t="str">
        <f t="shared" si="16"/>
        <v>INA INDUSTRIJA NAFTE D.D.</v>
      </c>
      <c r="E371" s="16">
        <v>42040</v>
      </c>
      <c r="F371" s="16">
        <v>42369</v>
      </c>
      <c r="G371" s="13">
        <v>2027.76</v>
      </c>
      <c r="H371" s="16">
        <v>42369</v>
      </c>
      <c r="I371" s="13">
        <v>1569.36</v>
      </c>
      <c r="J371" s="13">
        <f t="shared" si="17"/>
        <v>1961.6999999999998</v>
      </c>
      <c r="K371" s="6"/>
    </row>
    <row r="372" spans="1:11" ht="24" x14ac:dyDescent="0.25">
      <c r="A372" s="3">
        <v>201</v>
      </c>
      <c r="B372" s="14" t="s">
        <v>331</v>
      </c>
      <c r="C372" s="15" t="str">
        <f>"UG-50000234-00078/15"</f>
        <v>UG-50000234-00078/15</v>
      </c>
      <c r="D372" s="15" t="str">
        <f t="shared" si="16"/>
        <v>INA INDUSTRIJA NAFTE D.D.</v>
      </c>
      <c r="E372" s="16">
        <v>42013</v>
      </c>
      <c r="F372" s="16">
        <v>42722</v>
      </c>
      <c r="G372" s="13">
        <v>6103.2</v>
      </c>
      <c r="H372" s="16">
        <v>42722</v>
      </c>
      <c r="I372" s="13">
        <v>526.19000000000005</v>
      </c>
      <c r="J372" s="13">
        <f t="shared" si="17"/>
        <v>657.73750000000007</v>
      </c>
      <c r="K372" s="6"/>
    </row>
    <row r="373" spans="1:11" ht="24" x14ac:dyDescent="0.25">
      <c r="A373" s="3">
        <v>202</v>
      </c>
      <c r="B373" s="14" t="s">
        <v>332</v>
      </c>
      <c r="C373" s="15" t="str">
        <f>"UG-50000234-00133/15"</f>
        <v>UG-50000234-00133/15</v>
      </c>
      <c r="D373" s="15" t="str">
        <f t="shared" si="16"/>
        <v>INA INDUSTRIJA NAFTE D.D.</v>
      </c>
      <c r="E373" s="16">
        <v>42026</v>
      </c>
      <c r="F373" s="16">
        <v>42369</v>
      </c>
      <c r="G373" s="13">
        <v>1903.2</v>
      </c>
      <c r="H373" s="16">
        <v>42369</v>
      </c>
      <c r="I373" s="13">
        <v>1272.28</v>
      </c>
      <c r="J373" s="13">
        <f t="shared" si="17"/>
        <v>1590.35</v>
      </c>
      <c r="K373" s="6"/>
    </row>
    <row r="374" spans="1:11" ht="24" x14ac:dyDescent="0.25">
      <c r="A374" s="3">
        <v>203</v>
      </c>
      <c r="B374" s="14" t="s">
        <v>333</v>
      </c>
      <c r="C374" s="15" t="str">
        <f>"UG-50000234-00199/15"</f>
        <v>UG-50000234-00199/15</v>
      </c>
      <c r="D374" s="15" t="str">
        <f t="shared" si="16"/>
        <v>INA INDUSTRIJA NAFTE D.D.</v>
      </c>
      <c r="E374" s="16">
        <v>42046</v>
      </c>
      <c r="F374" s="16">
        <v>42369</v>
      </c>
      <c r="G374" s="13">
        <v>3051.6</v>
      </c>
      <c r="H374" s="16">
        <v>42369</v>
      </c>
      <c r="I374" s="13">
        <v>0</v>
      </c>
      <c r="J374" s="13">
        <f t="shared" si="17"/>
        <v>0</v>
      </c>
      <c r="K374" s="6"/>
    </row>
    <row r="375" spans="1:11" ht="24" x14ac:dyDescent="0.25">
      <c r="A375" s="3">
        <v>204</v>
      </c>
      <c r="B375" s="14" t="s">
        <v>226</v>
      </c>
      <c r="C375" s="15" t="str">
        <f>"UG-50000234-00253/15"</f>
        <v>UG-50000234-00253/15</v>
      </c>
      <c r="D375" s="15" t="str">
        <f t="shared" si="16"/>
        <v>INA INDUSTRIJA NAFTE D.D.</v>
      </c>
      <c r="E375" s="16">
        <v>42023</v>
      </c>
      <c r="F375" s="16">
        <v>42369</v>
      </c>
      <c r="G375" s="13">
        <v>42252.959999999999</v>
      </c>
      <c r="H375" s="16">
        <v>42369</v>
      </c>
      <c r="I375" s="13">
        <v>57007.73</v>
      </c>
      <c r="J375" s="13">
        <f t="shared" si="17"/>
        <v>71259.662500000006</v>
      </c>
      <c r="K375" s="6"/>
    </row>
    <row r="376" spans="1:11" ht="24" x14ac:dyDescent="0.25">
      <c r="A376" s="3">
        <v>205</v>
      </c>
      <c r="B376" s="14" t="s">
        <v>334</v>
      </c>
      <c r="C376" s="15" t="str">
        <f>"UG-50000234-00094/15"</f>
        <v>UG-50000234-00094/15</v>
      </c>
      <c r="D376" s="15" t="str">
        <f t="shared" si="16"/>
        <v>INA INDUSTRIJA NAFTE D.D.</v>
      </c>
      <c r="E376" s="16">
        <v>42017</v>
      </c>
      <c r="F376" s="16">
        <v>42369</v>
      </c>
      <c r="G376" s="13">
        <v>34476</v>
      </c>
      <c r="H376" s="16">
        <v>42369</v>
      </c>
      <c r="I376" s="13">
        <v>37370.03</v>
      </c>
      <c r="J376" s="13">
        <f t="shared" si="17"/>
        <v>46712.537499999999</v>
      </c>
      <c r="K376" s="6"/>
    </row>
    <row r="377" spans="1:11" ht="24" x14ac:dyDescent="0.25">
      <c r="A377" s="3">
        <v>206</v>
      </c>
      <c r="B377" s="14" t="s">
        <v>335</v>
      </c>
      <c r="C377" s="15" t="str">
        <f>"UG-50000234-00325/15"</f>
        <v>UG-50000234-00325/15</v>
      </c>
      <c r="D377" s="15" t="str">
        <f t="shared" si="16"/>
        <v>INA INDUSTRIJA NAFTE D.D.</v>
      </c>
      <c r="E377" s="16">
        <v>42026</v>
      </c>
      <c r="F377" s="16">
        <v>42369</v>
      </c>
      <c r="G377" s="13">
        <v>584.4</v>
      </c>
      <c r="H377" s="16">
        <v>42369</v>
      </c>
      <c r="I377" s="13">
        <v>0</v>
      </c>
      <c r="J377" s="13">
        <f t="shared" si="17"/>
        <v>0</v>
      </c>
      <c r="K377" s="6"/>
    </row>
    <row r="378" spans="1:11" ht="24" x14ac:dyDescent="0.25">
      <c r="A378" s="3">
        <v>207</v>
      </c>
      <c r="B378" s="14" t="s">
        <v>336</v>
      </c>
      <c r="C378" s="15" t="str">
        <f>"UG-50000234-00277/15"</f>
        <v>UG-50000234-00277/15</v>
      </c>
      <c r="D378" s="15" t="str">
        <f t="shared" si="16"/>
        <v>INA INDUSTRIJA NAFTE D.D.</v>
      </c>
      <c r="E378" s="16">
        <v>42019</v>
      </c>
      <c r="F378" s="16">
        <v>42722</v>
      </c>
      <c r="G378" s="13">
        <v>3194.4</v>
      </c>
      <c r="H378" s="16">
        <v>42722</v>
      </c>
      <c r="I378" s="13">
        <v>1752.93</v>
      </c>
      <c r="J378" s="13">
        <f t="shared" si="17"/>
        <v>2191.1624999999999</v>
      </c>
      <c r="K378" s="6"/>
    </row>
    <row r="379" spans="1:11" ht="24" x14ac:dyDescent="0.25">
      <c r="A379" s="3">
        <v>208</v>
      </c>
      <c r="B379" s="14" t="s">
        <v>337</v>
      </c>
      <c r="C379" s="15" t="str">
        <f>"UG-50000234-00221/15"</f>
        <v>UG-50000234-00221/15</v>
      </c>
      <c r="D379" s="15" t="str">
        <f t="shared" si="16"/>
        <v>INA INDUSTRIJA NAFTE D.D.</v>
      </c>
      <c r="E379" s="16">
        <v>42024</v>
      </c>
      <c r="F379" s="16">
        <v>42735</v>
      </c>
      <c r="G379" s="13">
        <v>1268.8</v>
      </c>
      <c r="H379" s="16">
        <v>42735</v>
      </c>
      <c r="I379" s="13">
        <v>315.7</v>
      </c>
      <c r="J379" s="13">
        <f t="shared" si="17"/>
        <v>394.625</v>
      </c>
      <c r="K379" s="6"/>
    </row>
    <row r="380" spans="1:11" ht="24" x14ac:dyDescent="0.25">
      <c r="A380" s="3">
        <v>209</v>
      </c>
      <c r="B380" s="14" t="s">
        <v>168</v>
      </c>
      <c r="C380" s="15" t="str">
        <f>"UG-50000234-00357/15"</f>
        <v>UG-50000234-00357/15</v>
      </c>
      <c r="D380" s="15" t="str">
        <f t="shared" si="16"/>
        <v>INA INDUSTRIJA NAFTE D.D.</v>
      </c>
      <c r="E380" s="16">
        <v>42027</v>
      </c>
      <c r="F380" s="16">
        <v>42722</v>
      </c>
      <c r="G380" s="13">
        <v>31720</v>
      </c>
      <c r="H380" s="16">
        <v>42722</v>
      </c>
      <c r="I380" s="13">
        <v>0</v>
      </c>
      <c r="J380" s="13">
        <f t="shared" si="17"/>
        <v>0</v>
      </c>
      <c r="K380" s="6"/>
    </row>
    <row r="381" spans="1:11" ht="24" x14ac:dyDescent="0.25">
      <c r="A381" s="3">
        <v>210</v>
      </c>
      <c r="B381" s="14" t="s">
        <v>227</v>
      </c>
      <c r="C381" s="15" t="str">
        <f>"UG-50000234-00188/15"</f>
        <v>UG-50000234-00188/15</v>
      </c>
      <c r="D381" s="15" t="str">
        <f t="shared" si="16"/>
        <v>INA INDUSTRIJA NAFTE D.D.</v>
      </c>
      <c r="E381" s="16">
        <v>42020</v>
      </c>
      <c r="F381" s="16">
        <v>42369</v>
      </c>
      <c r="G381" s="13">
        <v>638.88</v>
      </c>
      <c r="H381" s="16">
        <v>42369</v>
      </c>
      <c r="I381" s="13">
        <v>0</v>
      </c>
      <c r="J381" s="13">
        <f t="shared" si="17"/>
        <v>0</v>
      </c>
      <c r="K381" s="6"/>
    </row>
    <row r="382" spans="1:11" ht="24" x14ac:dyDescent="0.25">
      <c r="A382" s="3">
        <v>211</v>
      </c>
      <c r="B382" s="14" t="s">
        <v>338</v>
      </c>
      <c r="C382" s="15" t="str">
        <f>"UG-50000234-00231/15"</f>
        <v>UG-50000234-00231/15</v>
      </c>
      <c r="D382" s="15" t="str">
        <f t="shared" si="16"/>
        <v>INA INDUSTRIJA NAFTE D.D.</v>
      </c>
      <c r="E382" s="16">
        <v>42027</v>
      </c>
      <c r="F382" s="16">
        <v>42369</v>
      </c>
      <c r="G382" s="13">
        <v>1753.2</v>
      </c>
      <c r="H382" s="16">
        <v>42369</v>
      </c>
      <c r="I382" s="13">
        <v>1474.76</v>
      </c>
      <c r="J382" s="13">
        <f t="shared" si="17"/>
        <v>1843.45</v>
      </c>
      <c r="K382" s="6"/>
    </row>
    <row r="383" spans="1:11" ht="24" x14ac:dyDescent="0.25">
      <c r="A383" s="3">
        <v>212</v>
      </c>
      <c r="B383" s="14" t="s">
        <v>171</v>
      </c>
      <c r="C383" s="15" t="str">
        <f>"UG-50000234-00294/15"</f>
        <v>UG-50000234-00294/15</v>
      </c>
      <c r="D383" s="15" t="str">
        <f t="shared" si="16"/>
        <v>INA INDUSTRIJA NAFTE D.D.</v>
      </c>
      <c r="E383" s="16">
        <v>42023</v>
      </c>
      <c r="F383" s="16">
        <v>42369</v>
      </c>
      <c r="G383" s="13">
        <v>1233.5999999999999</v>
      </c>
      <c r="H383" s="16">
        <v>42369</v>
      </c>
      <c r="I383" s="13">
        <v>0</v>
      </c>
      <c r="J383" s="13">
        <f t="shared" si="17"/>
        <v>0</v>
      </c>
      <c r="K383" s="6"/>
    </row>
    <row r="384" spans="1:11" ht="24" x14ac:dyDescent="0.25">
      <c r="A384" s="3">
        <v>213</v>
      </c>
      <c r="B384" s="14" t="s">
        <v>339</v>
      </c>
      <c r="C384" s="15" t="str">
        <f>"UG-50000234-00342/15"</f>
        <v>UG-50000234-00342/15</v>
      </c>
      <c r="D384" s="15" t="str">
        <f t="shared" si="16"/>
        <v>INA INDUSTRIJA NAFTE D.D.</v>
      </c>
      <c r="E384" s="16">
        <v>42027</v>
      </c>
      <c r="F384" s="16">
        <v>42369</v>
      </c>
      <c r="G384" s="13">
        <v>634.4</v>
      </c>
      <c r="H384" s="16">
        <v>42369</v>
      </c>
      <c r="I384" s="13">
        <v>634.4</v>
      </c>
      <c r="J384" s="13">
        <f t="shared" si="17"/>
        <v>793</v>
      </c>
      <c r="K384" s="6"/>
    </row>
    <row r="385" spans="1:11" ht="24" x14ac:dyDescent="0.25">
      <c r="A385" s="3">
        <v>214</v>
      </c>
      <c r="B385" s="14" t="s">
        <v>340</v>
      </c>
      <c r="C385" s="15" t="str">
        <f>"UG-50000234-00120/15"</f>
        <v>UG-50000234-00120/15</v>
      </c>
      <c r="D385" s="15" t="str">
        <f t="shared" si="16"/>
        <v>INA INDUSTRIJA NAFTE D.D.</v>
      </c>
      <c r="E385" s="16">
        <v>42023</v>
      </c>
      <c r="F385" s="16">
        <v>42369</v>
      </c>
      <c r="G385" s="13">
        <v>594.72</v>
      </c>
      <c r="H385" s="16">
        <v>42369</v>
      </c>
      <c r="I385" s="13">
        <v>0</v>
      </c>
      <c r="J385" s="13">
        <f t="shared" si="17"/>
        <v>0</v>
      </c>
      <c r="K385" s="6"/>
    </row>
    <row r="386" spans="1:11" ht="24" x14ac:dyDescent="0.25">
      <c r="A386" s="3">
        <v>215</v>
      </c>
      <c r="B386" s="14" t="s">
        <v>341</v>
      </c>
      <c r="C386" s="15" t="str">
        <f>"UG-50000234-00283/15"</f>
        <v>UG-50000234-00283/15</v>
      </c>
      <c r="D386" s="15" t="str">
        <f t="shared" si="16"/>
        <v>INA INDUSTRIJA NAFTE D.D.</v>
      </c>
      <c r="E386" s="16">
        <v>42023</v>
      </c>
      <c r="F386" s="16">
        <v>42369</v>
      </c>
      <c r="G386" s="13">
        <v>3244.8</v>
      </c>
      <c r="H386" s="16">
        <v>42369</v>
      </c>
      <c r="I386" s="13">
        <v>0</v>
      </c>
      <c r="J386" s="13">
        <f t="shared" si="17"/>
        <v>0</v>
      </c>
      <c r="K386" s="6"/>
    </row>
    <row r="387" spans="1:11" ht="24" x14ac:dyDescent="0.25">
      <c r="A387" s="3">
        <v>216</v>
      </c>
      <c r="B387" s="14" t="s">
        <v>342</v>
      </c>
      <c r="C387" s="15" t="str">
        <f>"UG-50000234-00318/15"</f>
        <v>UG-50000234-00318/15</v>
      </c>
      <c r="D387" s="15" t="str">
        <f t="shared" si="16"/>
        <v>INA INDUSTRIJA NAFTE D.D.</v>
      </c>
      <c r="E387" s="16">
        <v>42030</v>
      </c>
      <c r="F387" s="16">
        <v>42369</v>
      </c>
      <c r="G387" s="13">
        <v>634.4</v>
      </c>
      <c r="H387" s="16">
        <v>42369</v>
      </c>
      <c r="I387" s="13">
        <v>107.5</v>
      </c>
      <c r="J387" s="13">
        <f t="shared" si="17"/>
        <v>134.375</v>
      </c>
      <c r="K387" s="6"/>
    </row>
    <row r="388" spans="1:11" ht="24" x14ac:dyDescent="0.25">
      <c r="A388" s="3">
        <v>217</v>
      </c>
      <c r="B388" s="14" t="s">
        <v>343</v>
      </c>
      <c r="C388" s="15" t="str">
        <f>"UG-50000234-00043/15"</f>
        <v>UG-50000234-00043/15</v>
      </c>
      <c r="D388" s="15" t="str">
        <f t="shared" si="16"/>
        <v>INA INDUSTRIJA NAFTE D.D.</v>
      </c>
      <c r="E388" s="16">
        <v>42012</v>
      </c>
      <c r="F388" s="16">
        <v>42369</v>
      </c>
      <c r="G388" s="13">
        <v>1302.4000000000001</v>
      </c>
      <c r="H388" s="16">
        <v>42369</v>
      </c>
      <c r="I388" s="13">
        <v>16.940000000000001</v>
      </c>
      <c r="J388" s="13">
        <f t="shared" si="17"/>
        <v>21.175000000000001</v>
      </c>
      <c r="K388" s="6"/>
    </row>
    <row r="389" spans="1:11" ht="24" x14ac:dyDescent="0.25">
      <c r="A389" s="3">
        <v>218</v>
      </c>
      <c r="B389" s="14" t="s">
        <v>344</v>
      </c>
      <c r="C389" s="15" t="str">
        <f>"UG-50000234-00281/15"</f>
        <v>UG-50000234-00281/15</v>
      </c>
      <c r="D389" s="15" t="str">
        <f t="shared" si="16"/>
        <v>INA INDUSTRIJA NAFTE D.D.</v>
      </c>
      <c r="E389" s="16">
        <v>42019</v>
      </c>
      <c r="F389" s="16">
        <v>42369</v>
      </c>
      <c r="G389" s="13">
        <v>3061.92</v>
      </c>
      <c r="H389" s="16">
        <v>42369</v>
      </c>
      <c r="I389" s="13">
        <v>601.23</v>
      </c>
      <c r="J389" s="13">
        <f t="shared" si="17"/>
        <v>751.53750000000002</v>
      </c>
      <c r="K389" s="6"/>
    </row>
    <row r="390" spans="1:11" ht="24" x14ac:dyDescent="0.25">
      <c r="A390" s="3">
        <v>219</v>
      </c>
      <c r="B390" s="14" t="s">
        <v>345</v>
      </c>
      <c r="C390" s="15" t="str">
        <f>"UG-50000234-00203/15"</f>
        <v>UG-50000234-00203/15</v>
      </c>
      <c r="D390" s="15" t="str">
        <f t="shared" si="16"/>
        <v>INA INDUSTRIJA NAFTE D.D.</v>
      </c>
      <c r="E390" s="16">
        <v>42011</v>
      </c>
      <c r="F390" s="16">
        <v>42722</v>
      </c>
      <c r="G390" s="13">
        <v>16280</v>
      </c>
      <c r="H390" s="16">
        <v>42722</v>
      </c>
      <c r="I390" s="13">
        <v>0</v>
      </c>
      <c r="J390" s="13">
        <f t="shared" si="17"/>
        <v>0</v>
      </c>
      <c r="K390" s="6"/>
    </row>
    <row r="391" spans="1:11" ht="24" x14ac:dyDescent="0.25">
      <c r="A391" s="3">
        <v>220</v>
      </c>
      <c r="B391" s="14" t="s">
        <v>346</v>
      </c>
      <c r="C391" s="15" t="str">
        <f>"UG-50000234-00180/15"</f>
        <v>UG-50000234-00180/15</v>
      </c>
      <c r="D391" s="15" t="str">
        <f t="shared" si="16"/>
        <v>INA INDUSTRIJA NAFTE D.D.</v>
      </c>
      <c r="E391" s="16">
        <v>42019</v>
      </c>
      <c r="F391" s="16">
        <v>42722</v>
      </c>
      <c r="G391" s="13">
        <v>12777.6</v>
      </c>
      <c r="H391" s="16">
        <v>42722</v>
      </c>
      <c r="I391" s="13">
        <v>2250</v>
      </c>
      <c r="J391" s="13">
        <f t="shared" si="17"/>
        <v>2812.5</v>
      </c>
      <c r="K391" s="6"/>
    </row>
    <row r="392" spans="1:11" ht="24" x14ac:dyDescent="0.25">
      <c r="A392" s="3">
        <v>221</v>
      </c>
      <c r="B392" s="14" t="s">
        <v>347</v>
      </c>
      <c r="C392" s="15" t="str">
        <f>"UG-00469/15"</f>
        <v>UG-00469/15</v>
      </c>
      <c r="D392" s="15" t="str">
        <f t="shared" si="16"/>
        <v>INA INDUSTRIJA NAFTE D.D.</v>
      </c>
      <c r="E392" s="16">
        <v>42019</v>
      </c>
      <c r="F392" s="16">
        <v>42722</v>
      </c>
      <c r="G392" s="13">
        <v>2555.52</v>
      </c>
      <c r="H392" s="16">
        <v>42722</v>
      </c>
      <c r="I392" s="13">
        <v>772.61</v>
      </c>
      <c r="J392" s="13">
        <f t="shared" si="17"/>
        <v>965.76250000000005</v>
      </c>
      <c r="K392" s="6"/>
    </row>
    <row r="393" spans="1:11" ht="24" x14ac:dyDescent="0.25">
      <c r="A393" s="3">
        <v>222</v>
      </c>
      <c r="B393" s="14" t="s">
        <v>348</v>
      </c>
      <c r="C393" s="15" t="str">
        <f>"UG-50000234-00054/15"</f>
        <v>UG-50000234-00054/15</v>
      </c>
      <c r="D393" s="15" t="str">
        <f t="shared" si="16"/>
        <v>INA INDUSTRIJA NAFTE D.D.</v>
      </c>
      <c r="E393" s="16">
        <v>42017</v>
      </c>
      <c r="F393" s="16">
        <v>42369</v>
      </c>
      <c r="G393" s="13">
        <v>1277.76</v>
      </c>
      <c r="H393" s="16">
        <v>42369</v>
      </c>
      <c r="I393" s="13">
        <v>0</v>
      </c>
      <c r="J393" s="13">
        <f t="shared" si="17"/>
        <v>0</v>
      </c>
      <c r="K393" s="6"/>
    </row>
    <row r="394" spans="1:11" ht="24" x14ac:dyDescent="0.25">
      <c r="A394" s="3">
        <v>223</v>
      </c>
      <c r="B394" s="14" t="s">
        <v>349</v>
      </c>
      <c r="C394" s="15" t="str">
        <f>"UG-50000234-00296/15"</f>
        <v>UG-50000234-00296/15</v>
      </c>
      <c r="D394" s="15" t="str">
        <f t="shared" si="16"/>
        <v>INA INDUSTRIJA NAFTE D.D.</v>
      </c>
      <c r="E394" s="16">
        <v>42023</v>
      </c>
      <c r="F394" s="16">
        <v>42369</v>
      </c>
      <c r="G394" s="13">
        <v>958.32</v>
      </c>
      <c r="H394" s="16">
        <v>42369</v>
      </c>
      <c r="I394" s="13">
        <v>254.21</v>
      </c>
      <c r="J394" s="13">
        <f t="shared" si="17"/>
        <v>317.76249999999999</v>
      </c>
      <c r="K394" s="6"/>
    </row>
    <row r="395" spans="1:11" ht="24" x14ac:dyDescent="0.25">
      <c r="A395" s="3">
        <v>224</v>
      </c>
      <c r="B395" s="14" t="s">
        <v>350</v>
      </c>
      <c r="C395" s="15" t="str">
        <f>"UG-50000234-00156/15"</f>
        <v>UG-50000234-00156/15</v>
      </c>
      <c r="D395" s="15" t="str">
        <f t="shared" si="16"/>
        <v>INA INDUSTRIJA NAFTE D.D.</v>
      </c>
      <c r="E395" s="16">
        <v>42026</v>
      </c>
      <c r="F395" s="16">
        <v>42369</v>
      </c>
      <c r="G395" s="13">
        <v>634.4</v>
      </c>
      <c r="H395" s="16">
        <v>42369</v>
      </c>
      <c r="I395" s="13">
        <v>0</v>
      </c>
      <c r="J395" s="13">
        <f t="shared" si="17"/>
        <v>0</v>
      </c>
      <c r="K395" s="6"/>
    </row>
    <row r="396" spans="1:11" ht="24" x14ac:dyDescent="0.25">
      <c r="A396" s="3">
        <v>225</v>
      </c>
      <c r="B396" s="14" t="s">
        <v>351</v>
      </c>
      <c r="C396" s="15" t="str">
        <f>"UG-50000234-00229/15"</f>
        <v>UG-50000234-00229/15</v>
      </c>
      <c r="D396" s="15" t="str">
        <f t="shared" si="16"/>
        <v>INA INDUSTRIJA NAFTE D.D.</v>
      </c>
      <c r="E396" s="16">
        <v>42023</v>
      </c>
      <c r="F396" s="16">
        <v>42369</v>
      </c>
      <c r="G396" s="13">
        <v>2555.52</v>
      </c>
      <c r="H396" s="16">
        <v>42369</v>
      </c>
      <c r="I396" s="13">
        <v>0</v>
      </c>
      <c r="J396" s="13">
        <f t="shared" si="17"/>
        <v>0</v>
      </c>
      <c r="K396" s="6"/>
    </row>
    <row r="397" spans="1:11" ht="24" x14ac:dyDescent="0.25">
      <c r="A397" s="3">
        <v>226</v>
      </c>
      <c r="B397" s="14" t="s">
        <v>352</v>
      </c>
      <c r="C397" s="15" t="str">
        <f>"UG-50000234-00205/15"</f>
        <v>UG-50000234-00205/15</v>
      </c>
      <c r="D397" s="15" t="str">
        <f t="shared" si="16"/>
        <v>INA INDUSTRIJA NAFTE D.D.</v>
      </c>
      <c r="E397" s="16">
        <v>42023</v>
      </c>
      <c r="F397" s="16">
        <v>42369</v>
      </c>
      <c r="G397" s="13">
        <v>1277.76</v>
      </c>
      <c r="H397" s="16">
        <v>42369</v>
      </c>
      <c r="I397" s="13">
        <v>1336.17</v>
      </c>
      <c r="J397" s="13">
        <f t="shared" si="17"/>
        <v>1670.2125000000001</v>
      </c>
      <c r="K397" s="6"/>
    </row>
    <row r="398" spans="1:11" ht="24" x14ac:dyDescent="0.25">
      <c r="A398" s="3">
        <v>227</v>
      </c>
      <c r="B398" s="14" t="s">
        <v>353</v>
      </c>
      <c r="C398" s="15" t="str">
        <f>"UG-50000234-00211/15"</f>
        <v>UG-50000234-00211/15</v>
      </c>
      <c r="D398" s="15" t="str">
        <f t="shared" si="16"/>
        <v>INA INDUSTRIJA NAFTE D.D.</v>
      </c>
      <c r="E398" s="16">
        <v>42020</v>
      </c>
      <c r="F398" s="16">
        <v>42369</v>
      </c>
      <c r="G398" s="13">
        <v>44721.599999999999</v>
      </c>
      <c r="H398" s="16">
        <v>42369</v>
      </c>
      <c r="I398" s="40">
        <v>0</v>
      </c>
      <c r="J398" s="40">
        <f t="shared" si="17"/>
        <v>0</v>
      </c>
      <c r="K398" s="6"/>
    </row>
    <row r="399" spans="1:11" ht="24" x14ac:dyDescent="0.25">
      <c r="A399" s="3">
        <v>228</v>
      </c>
      <c r="B399" s="14" t="s">
        <v>54</v>
      </c>
      <c r="C399" s="15" t="str">
        <f>"4/2014-5-14/129-1"</f>
        <v>4/2014-5-14/129-1</v>
      </c>
      <c r="D399" s="15" t="str">
        <f t="shared" si="16"/>
        <v>INA INDUSTRIJA NAFTE D.D.</v>
      </c>
      <c r="E399" s="16">
        <v>42002</v>
      </c>
      <c r="F399" s="16">
        <v>42369</v>
      </c>
      <c r="G399" s="13">
        <v>33384</v>
      </c>
      <c r="H399" s="16">
        <v>42369</v>
      </c>
      <c r="I399" s="13">
        <v>19206.48</v>
      </c>
      <c r="J399" s="13">
        <f t="shared" si="17"/>
        <v>24008.1</v>
      </c>
      <c r="K399" s="6"/>
    </row>
    <row r="400" spans="1:11" ht="24" x14ac:dyDescent="0.25">
      <c r="A400" s="3">
        <v>229</v>
      </c>
      <c r="B400" s="14" t="s">
        <v>354</v>
      </c>
      <c r="C400" s="15" t="str">
        <f>"50000234-00154/15"</f>
        <v>50000234-00154/15</v>
      </c>
      <c r="D400" s="15" t="str">
        <f t="shared" si="16"/>
        <v>INA INDUSTRIJA NAFTE D.D.</v>
      </c>
      <c r="E400" s="16">
        <v>42020</v>
      </c>
      <c r="F400" s="16">
        <v>42369</v>
      </c>
      <c r="G400" s="13">
        <v>4460.3999999999996</v>
      </c>
      <c r="H400" s="16">
        <v>42369</v>
      </c>
      <c r="I400" s="13">
        <v>2112.6</v>
      </c>
      <c r="J400" s="13">
        <f t="shared" si="17"/>
        <v>2640.75</v>
      </c>
      <c r="K400" s="6"/>
    </row>
    <row r="401" spans="1:11" ht="24" x14ac:dyDescent="0.25">
      <c r="A401" s="3">
        <v>230</v>
      </c>
      <c r="B401" s="14" t="s">
        <v>70</v>
      </c>
      <c r="C401" s="15" t="str">
        <f>"UG-50000234-00378/15"</f>
        <v>UG-50000234-00378/15</v>
      </c>
      <c r="D401" s="15" t="str">
        <f t="shared" si="16"/>
        <v>INA INDUSTRIJA NAFTE D.D.</v>
      </c>
      <c r="E401" s="16">
        <v>42027</v>
      </c>
      <c r="F401" s="16">
        <v>42369</v>
      </c>
      <c r="G401" s="13">
        <v>30230</v>
      </c>
      <c r="H401" s="16">
        <v>42369</v>
      </c>
      <c r="I401" s="13">
        <v>15567.91</v>
      </c>
      <c r="J401" s="13">
        <f t="shared" si="17"/>
        <v>19459.887500000001</v>
      </c>
      <c r="K401" s="6"/>
    </row>
    <row r="402" spans="1:11" ht="24" x14ac:dyDescent="0.25">
      <c r="A402" s="3">
        <v>231</v>
      </c>
      <c r="B402" s="14"/>
      <c r="C402" s="15" t="str">
        <f>"50000234-00366/15"</f>
        <v>50000234-00366/15</v>
      </c>
      <c r="D402" s="15" t="str">
        <f t="shared" si="16"/>
        <v>INA INDUSTRIJA NAFTE D.D.</v>
      </c>
      <c r="E402" s="16">
        <v>42026</v>
      </c>
      <c r="F402" s="16">
        <v>42094</v>
      </c>
      <c r="G402" s="13">
        <v>108417.92</v>
      </c>
      <c r="H402" s="16">
        <v>42094</v>
      </c>
      <c r="I402" s="13">
        <v>2924.62</v>
      </c>
      <c r="J402" s="13">
        <f t="shared" si="17"/>
        <v>3655.7749999999996</v>
      </c>
      <c r="K402" s="6"/>
    </row>
    <row r="403" spans="1:11" ht="24" x14ac:dyDescent="0.25">
      <c r="A403" s="3">
        <v>232</v>
      </c>
      <c r="B403" s="14"/>
      <c r="C403" s="15" t="str">
        <f>"UG-50000234-00141/15"</f>
        <v>UG-50000234-00141/15</v>
      </c>
      <c r="D403" s="15" t="str">
        <f t="shared" si="16"/>
        <v>INA INDUSTRIJA NAFTE D.D.</v>
      </c>
      <c r="E403" s="16">
        <v>42005</v>
      </c>
      <c r="F403" s="16"/>
      <c r="G403" s="13">
        <v>176.06</v>
      </c>
      <c r="H403" s="16"/>
      <c r="I403" s="13">
        <v>176.06</v>
      </c>
      <c r="J403" s="13">
        <f t="shared" si="17"/>
        <v>220.07499999999999</v>
      </c>
      <c r="K403" s="6"/>
    </row>
    <row r="404" spans="1:11" ht="24" x14ac:dyDescent="0.25">
      <c r="A404" s="3">
        <v>233</v>
      </c>
      <c r="B404" s="14" t="s">
        <v>355</v>
      </c>
      <c r="C404" s="15" t="str">
        <f>"41 SU 324/2014"</f>
        <v>41 SU 324/2014</v>
      </c>
      <c r="D404" s="15" t="str">
        <f t="shared" si="16"/>
        <v>INA INDUSTRIJA NAFTE D.D.</v>
      </c>
      <c r="E404" s="16">
        <v>42012</v>
      </c>
      <c r="F404" s="16">
        <v>42369</v>
      </c>
      <c r="G404" s="13">
        <v>3550</v>
      </c>
      <c r="H404" s="16">
        <v>42369</v>
      </c>
      <c r="I404" s="13">
        <v>3550</v>
      </c>
      <c r="J404" s="13">
        <f t="shared" si="17"/>
        <v>4437.5</v>
      </c>
      <c r="K404" s="6"/>
    </row>
    <row r="405" spans="1:11" ht="24" x14ac:dyDescent="0.25">
      <c r="A405" s="3">
        <v>234</v>
      </c>
      <c r="B405" s="14" t="s">
        <v>182</v>
      </c>
      <c r="C405" s="15" t="str">
        <f>"UG-50000234-00275/15"</f>
        <v>UG-50000234-00275/15</v>
      </c>
      <c r="D405" s="15" t="str">
        <f t="shared" si="16"/>
        <v>INA INDUSTRIJA NAFTE D.D.</v>
      </c>
      <c r="E405" s="16">
        <v>42027</v>
      </c>
      <c r="F405" s="16">
        <v>42722</v>
      </c>
      <c r="G405" s="13">
        <v>2406.3000000000002</v>
      </c>
      <c r="H405" s="16">
        <v>42722</v>
      </c>
      <c r="I405" s="13">
        <v>0</v>
      </c>
      <c r="J405" s="13">
        <f t="shared" si="17"/>
        <v>0</v>
      </c>
      <c r="K405" s="6"/>
    </row>
    <row r="406" spans="1:11" ht="24" x14ac:dyDescent="0.25">
      <c r="A406" s="3">
        <v>235</v>
      </c>
      <c r="B406" s="14" t="s">
        <v>188</v>
      </c>
      <c r="C406" s="15" t="str">
        <f>"5000234-00150"</f>
        <v>5000234-00150</v>
      </c>
      <c r="D406" s="15" t="str">
        <f t="shared" si="16"/>
        <v>INA INDUSTRIJA NAFTE D.D.</v>
      </c>
      <c r="E406" s="16">
        <v>42030</v>
      </c>
      <c r="F406" s="16"/>
      <c r="G406" s="13">
        <v>21603</v>
      </c>
      <c r="H406" s="16"/>
      <c r="I406" s="13">
        <v>2405.29</v>
      </c>
      <c r="J406" s="13">
        <f t="shared" si="17"/>
        <v>3006.6125000000002</v>
      </c>
      <c r="K406" s="6"/>
    </row>
    <row r="407" spans="1:11" ht="24" x14ac:dyDescent="0.25">
      <c r="A407" s="3">
        <v>236</v>
      </c>
      <c r="B407" s="14" t="s">
        <v>154</v>
      </c>
      <c r="C407" s="15" t="str">
        <f>"UG-50000234-00347/15"</f>
        <v>UG-50000234-00347/15</v>
      </c>
      <c r="D407" s="15" t="str">
        <f t="shared" si="16"/>
        <v>INA INDUSTRIJA NAFTE D.D.</v>
      </c>
      <c r="E407" s="16">
        <v>42005</v>
      </c>
      <c r="F407" s="16">
        <v>42369</v>
      </c>
      <c r="G407" s="13">
        <v>0</v>
      </c>
      <c r="H407" s="16">
        <v>42369</v>
      </c>
      <c r="I407" s="13">
        <v>0</v>
      </c>
      <c r="J407" s="13">
        <f t="shared" si="17"/>
        <v>0</v>
      </c>
      <c r="K407" s="6"/>
    </row>
    <row r="408" spans="1:11" ht="24" x14ac:dyDescent="0.25">
      <c r="A408" s="3">
        <v>237</v>
      </c>
      <c r="B408" s="14" t="s">
        <v>356</v>
      </c>
      <c r="C408" s="15" t="str">
        <f>"UG-00416/15"</f>
        <v>UG-00416/15</v>
      </c>
      <c r="D408" s="15" t="str">
        <f t="shared" si="16"/>
        <v>INA INDUSTRIJA NAFTE D.D.</v>
      </c>
      <c r="E408" s="16">
        <v>41989</v>
      </c>
      <c r="F408" s="16">
        <v>42369</v>
      </c>
      <c r="G408" s="13">
        <v>25581</v>
      </c>
      <c r="H408" s="16">
        <v>42369</v>
      </c>
      <c r="I408" s="13">
        <v>13191.66</v>
      </c>
      <c r="J408" s="13">
        <f t="shared" si="17"/>
        <v>16489.575000000001</v>
      </c>
      <c r="K408" s="6"/>
    </row>
    <row r="409" spans="1:11" ht="36" x14ac:dyDescent="0.25">
      <c r="A409" s="3">
        <v>238</v>
      </c>
      <c r="B409" s="14" t="s">
        <v>357</v>
      </c>
      <c r="C409" s="15" t="str">
        <f>"UG-50000234-00037/15"</f>
        <v>UG-50000234-00037/15</v>
      </c>
      <c r="D409" s="15" t="str">
        <f t="shared" si="16"/>
        <v>INA INDUSTRIJA NAFTE D.D.</v>
      </c>
      <c r="E409" s="16">
        <v>42011</v>
      </c>
      <c r="F409" s="16">
        <v>42369</v>
      </c>
      <c r="G409" s="13">
        <v>11669.9</v>
      </c>
      <c r="H409" s="16">
        <v>42369</v>
      </c>
      <c r="I409" s="13">
        <v>7910.77</v>
      </c>
      <c r="J409" s="13">
        <f t="shared" si="17"/>
        <v>9888.4625000000015</v>
      </c>
      <c r="K409" s="6"/>
    </row>
    <row r="410" spans="1:11" ht="24" x14ac:dyDescent="0.25">
      <c r="A410" s="3">
        <v>239</v>
      </c>
      <c r="B410" s="14" t="s">
        <v>358</v>
      </c>
      <c r="C410" s="15" t="str">
        <f>"UG-50000234-00169/15"</f>
        <v>UG-50000234-00169/15</v>
      </c>
      <c r="D410" s="15" t="str">
        <f t="shared" si="16"/>
        <v>INA INDUSTRIJA NAFTE D.D.</v>
      </c>
      <c r="E410" s="16">
        <v>42019</v>
      </c>
      <c r="F410" s="16"/>
      <c r="G410" s="13">
        <v>0</v>
      </c>
      <c r="H410" s="16"/>
      <c r="I410" s="13">
        <v>0</v>
      </c>
      <c r="J410" s="13">
        <f t="shared" si="17"/>
        <v>0</v>
      </c>
      <c r="K410" s="6"/>
    </row>
    <row r="411" spans="1:11" ht="24" x14ac:dyDescent="0.25">
      <c r="A411" s="3">
        <v>240</v>
      </c>
      <c r="B411" s="14" t="s">
        <v>359</v>
      </c>
      <c r="C411" s="15" t="str">
        <f>"UG-50000234-00289/15"</f>
        <v>UG-50000234-00289/15</v>
      </c>
      <c r="D411" s="15" t="str">
        <f t="shared" ref="D411:D413" si="18">CONCATENATE("INA INDUSTRIJA NAFTE D.D.")</f>
        <v>INA INDUSTRIJA NAFTE D.D.</v>
      </c>
      <c r="E411" s="16">
        <v>42472</v>
      </c>
      <c r="F411" s="16">
        <v>42369</v>
      </c>
      <c r="G411" s="13">
        <v>10000</v>
      </c>
      <c r="H411" s="16">
        <v>42369</v>
      </c>
      <c r="I411" s="13">
        <v>1454</v>
      </c>
      <c r="J411" s="13">
        <f t="shared" si="17"/>
        <v>1817.5</v>
      </c>
      <c r="K411" s="6"/>
    </row>
    <row r="412" spans="1:11" ht="24" x14ac:dyDescent="0.25">
      <c r="A412" s="3">
        <v>241</v>
      </c>
      <c r="B412" s="14" t="s">
        <v>360</v>
      </c>
      <c r="C412" s="15" t="str">
        <f>"10210/162"</f>
        <v>10210/162</v>
      </c>
      <c r="D412" s="15" t="str">
        <f t="shared" si="18"/>
        <v>INA INDUSTRIJA NAFTE D.D.</v>
      </c>
      <c r="E412" s="16">
        <v>42019</v>
      </c>
      <c r="F412" s="16">
        <v>42369</v>
      </c>
      <c r="G412" s="13">
        <v>43035</v>
      </c>
      <c r="H412" s="16">
        <v>42369</v>
      </c>
      <c r="I412" s="13">
        <v>66395.490000000005</v>
      </c>
      <c r="J412" s="13">
        <f t="shared" si="17"/>
        <v>82994.362500000003</v>
      </c>
      <c r="K412" s="6"/>
    </row>
    <row r="413" spans="1:11" ht="24" x14ac:dyDescent="0.25">
      <c r="A413" s="3">
        <v>242</v>
      </c>
      <c r="B413" s="14" t="s">
        <v>257</v>
      </c>
      <c r="C413" s="15" t="str">
        <f>"E-4-2014-5"</f>
        <v>E-4-2014-5</v>
      </c>
      <c r="D413" s="15" t="str">
        <f t="shared" si="18"/>
        <v>INA INDUSTRIJA NAFTE D.D.</v>
      </c>
      <c r="E413" s="16">
        <v>41992</v>
      </c>
      <c r="F413" s="16">
        <v>42723</v>
      </c>
      <c r="G413" s="13">
        <v>5000</v>
      </c>
      <c r="H413" s="16">
        <v>42723</v>
      </c>
      <c r="I413" s="13">
        <v>0</v>
      </c>
      <c r="J413" s="13">
        <f t="shared" si="17"/>
        <v>0</v>
      </c>
      <c r="K413" s="6"/>
    </row>
    <row r="414" spans="1:11" ht="7.5" customHeight="1" x14ac:dyDescent="0.25"/>
    <row r="415" spans="1:11" ht="42" customHeight="1" x14ac:dyDescent="0.25">
      <c r="A415" s="1" t="s">
        <v>0</v>
      </c>
      <c r="B415" s="2" t="s">
        <v>1</v>
      </c>
      <c r="C415" s="2" t="s">
        <v>6</v>
      </c>
      <c r="D415" s="2" t="s">
        <v>2</v>
      </c>
      <c r="E415" s="2" t="s">
        <v>3</v>
      </c>
      <c r="F415" s="2" t="s">
        <v>7</v>
      </c>
      <c r="G415" s="2" t="s">
        <v>8</v>
      </c>
      <c r="H415" s="2" t="s">
        <v>4</v>
      </c>
      <c r="I415" s="2" t="s">
        <v>5</v>
      </c>
    </row>
    <row r="416" spans="1:11" ht="53.25" customHeight="1" x14ac:dyDescent="0.25">
      <c r="A416" s="3">
        <v>1</v>
      </c>
      <c r="B416" s="32" t="s">
        <v>676</v>
      </c>
      <c r="C416" s="3" t="s">
        <v>361</v>
      </c>
      <c r="D416" s="3" t="s">
        <v>700</v>
      </c>
      <c r="E416" s="3" t="s">
        <v>24</v>
      </c>
      <c r="F416" s="21">
        <v>41992</v>
      </c>
      <c r="G416" s="3" t="s">
        <v>659</v>
      </c>
      <c r="H416" s="13">
        <v>93000000</v>
      </c>
      <c r="I416" s="13">
        <v>87132220</v>
      </c>
    </row>
    <row r="417" spans="1:11" x14ac:dyDescent="0.25">
      <c r="A417" s="42" t="s">
        <v>706</v>
      </c>
      <c r="B417" s="43"/>
      <c r="C417" s="43"/>
      <c r="D417" s="43"/>
      <c r="E417" s="43"/>
      <c r="F417" s="43"/>
      <c r="G417" s="43"/>
      <c r="H417" s="44"/>
      <c r="I417" s="13">
        <v>49236865.299999997</v>
      </c>
    </row>
    <row r="418" spans="1:11" ht="7.5" customHeight="1" x14ac:dyDescent="0.25"/>
    <row r="419" spans="1:11" x14ac:dyDescent="0.25">
      <c r="A419" s="46" t="s">
        <v>20</v>
      </c>
      <c r="B419" s="46"/>
      <c r="C419" s="46"/>
      <c r="D419" s="46"/>
      <c r="E419" s="46"/>
      <c r="F419" s="46"/>
      <c r="G419" s="46"/>
      <c r="H419" s="46"/>
      <c r="I419" s="46"/>
      <c r="J419" s="46"/>
      <c r="K419" s="46"/>
    </row>
    <row r="420" spans="1:11" ht="63.75" customHeight="1" x14ac:dyDescent="0.25">
      <c r="A420" s="4" t="s">
        <v>0</v>
      </c>
      <c r="B420" s="5" t="s">
        <v>10</v>
      </c>
      <c r="C420" s="5" t="s">
        <v>9</v>
      </c>
      <c r="D420" s="5" t="s">
        <v>13</v>
      </c>
      <c r="E420" s="5" t="s">
        <v>12</v>
      </c>
      <c r="F420" s="5" t="s">
        <v>11</v>
      </c>
      <c r="G420" s="5" t="s">
        <v>18</v>
      </c>
      <c r="H420" s="5" t="s">
        <v>14</v>
      </c>
      <c r="I420" s="5" t="s">
        <v>15</v>
      </c>
      <c r="J420" s="5" t="s">
        <v>16</v>
      </c>
      <c r="K420" s="5" t="s">
        <v>17</v>
      </c>
    </row>
    <row r="421" spans="1:11" ht="24" x14ac:dyDescent="0.25">
      <c r="A421" s="3">
        <v>1</v>
      </c>
      <c r="B421" s="14" t="s">
        <v>161</v>
      </c>
      <c r="C421" s="15" t="str">
        <f>"1/15"</f>
        <v>1/15</v>
      </c>
      <c r="D421" s="15" t="str">
        <f t="shared" ref="D421:D482" si="19">CONCATENATE("INA INDUSTRIJA NAFTE D.D.")</f>
        <v>INA INDUSTRIJA NAFTE D.D.</v>
      </c>
      <c r="E421" s="16">
        <v>42012</v>
      </c>
      <c r="F421" s="16"/>
      <c r="G421" s="13">
        <v>8811</v>
      </c>
      <c r="H421" s="16"/>
      <c r="I421" s="13">
        <v>8594</v>
      </c>
      <c r="J421" s="13">
        <f>I421*1.25</f>
        <v>10742.5</v>
      </c>
      <c r="K421" s="6"/>
    </row>
    <row r="422" spans="1:11" ht="24" x14ac:dyDescent="0.25">
      <c r="A422" s="3">
        <v>2</v>
      </c>
      <c r="B422" s="14" t="s">
        <v>222</v>
      </c>
      <c r="C422" s="15" t="str">
        <f>" UG-00828/15"</f>
        <v xml:space="preserve"> UG-00828/15</v>
      </c>
      <c r="D422" s="15" t="str">
        <f t="shared" si="19"/>
        <v>INA INDUSTRIJA NAFTE D.D.</v>
      </c>
      <c r="E422" s="16">
        <v>42355</v>
      </c>
      <c r="F422" s="16"/>
      <c r="G422" s="13">
        <v>38765.599999999999</v>
      </c>
      <c r="H422" s="16"/>
      <c r="I422" s="13">
        <v>22375.32</v>
      </c>
      <c r="J422" s="13">
        <f t="shared" ref="J422:J483" si="20">I422*1.25</f>
        <v>27969.15</v>
      </c>
      <c r="K422" s="6"/>
    </row>
    <row r="423" spans="1:11" ht="24" x14ac:dyDescent="0.25">
      <c r="A423" s="3">
        <v>3</v>
      </c>
      <c r="B423" s="14" t="s">
        <v>223</v>
      </c>
      <c r="C423" s="15" t="str">
        <f>"KLASA:406-07/15-02/1"</f>
        <v>KLASA:406-07/15-02/1</v>
      </c>
      <c r="D423" s="15" t="str">
        <f t="shared" si="19"/>
        <v>INA INDUSTRIJA NAFTE D.D.</v>
      </c>
      <c r="E423" s="16">
        <v>42005</v>
      </c>
      <c r="F423" s="16"/>
      <c r="G423" s="13">
        <v>47259</v>
      </c>
      <c r="H423" s="16"/>
      <c r="I423" s="13">
        <v>21264.959999999999</v>
      </c>
      <c r="J423" s="13">
        <f t="shared" si="20"/>
        <v>26581.199999999997</v>
      </c>
      <c r="K423" s="6"/>
    </row>
    <row r="424" spans="1:11" ht="24" x14ac:dyDescent="0.25">
      <c r="A424" s="3">
        <v>4</v>
      </c>
      <c r="B424" s="14" t="s">
        <v>32</v>
      </c>
      <c r="C424" s="15" t="str">
        <f>"920-07/15-13/16"</f>
        <v>920-07/15-13/16</v>
      </c>
      <c r="D424" s="15" t="str">
        <f t="shared" si="19"/>
        <v>INA INDUSTRIJA NAFTE D.D.</v>
      </c>
      <c r="E424" s="16">
        <v>42035</v>
      </c>
      <c r="F424" s="16"/>
      <c r="G424" s="13">
        <v>600000</v>
      </c>
      <c r="H424" s="16"/>
      <c r="I424" s="13">
        <v>534991.61</v>
      </c>
      <c r="J424" s="13">
        <f t="shared" si="20"/>
        <v>668739.51249999995</v>
      </c>
      <c r="K424" s="6"/>
    </row>
    <row r="425" spans="1:11" ht="24" x14ac:dyDescent="0.25">
      <c r="A425" s="3">
        <v>5</v>
      </c>
      <c r="B425" s="14" t="s">
        <v>364</v>
      </c>
      <c r="C425" s="15" t="str">
        <f>"4/2014-6"</f>
        <v>4/2014-6</v>
      </c>
      <c r="D425" s="15" t="str">
        <f t="shared" si="19"/>
        <v>INA INDUSTRIJA NAFTE D.D.</v>
      </c>
      <c r="E425" s="16">
        <v>42033</v>
      </c>
      <c r="F425" s="16"/>
      <c r="G425" s="13">
        <v>406390</v>
      </c>
      <c r="H425" s="16"/>
      <c r="I425" s="13">
        <v>355407</v>
      </c>
      <c r="J425" s="13">
        <f t="shared" si="20"/>
        <v>444258.75</v>
      </c>
      <c r="K425" s="6"/>
    </row>
    <row r="426" spans="1:11" ht="24" x14ac:dyDescent="0.25">
      <c r="A426" s="3">
        <v>6</v>
      </c>
      <c r="B426" s="14" t="s">
        <v>225</v>
      </c>
      <c r="C426" s="15" t="str">
        <f>"356-01/14-7"</f>
        <v>356-01/14-7</v>
      </c>
      <c r="D426" s="15" t="str">
        <f t="shared" si="19"/>
        <v>INA INDUSTRIJA NAFTE D.D.</v>
      </c>
      <c r="E426" s="16">
        <v>42002</v>
      </c>
      <c r="F426" s="16"/>
      <c r="G426" s="13">
        <v>55068.74</v>
      </c>
      <c r="H426" s="16"/>
      <c r="I426" s="13">
        <v>55068.74</v>
      </c>
      <c r="J426" s="13">
        <f t="shared" si="20"/>
        <v>68835.925000000003</v>
      </c>
      <c r="K426" s="6"/>
    </row>
    <row r="427" spans="1:11" ht="24" x14ac:dyDescent="0.25">
      <c r="A427" s="3">
        <v>7</v>
      </c>
      <c r="B427" s="14" t="s">
        <v>365</v>
      </c>
      <c r="C427" s="15" t="str">
        <f>"INA-UG-26273/15"</f>
        <v>INA-UG-26273/15</v>
      </c>
      <c r="D427" s="15" t="str">
        <f t="shared" si="19"/>
        <v>INA INDUSTRIJA NAFTE D.D.</v>
      </c>
      <c r="E427" s="16">
        <v>42051</v>
      </c>
      <c r="F427" s="16"/>
      <c r="G427" s="13">
        <v>4196.67</v>
      </c>
      <c r="H427" s="16"/>
      <c r="I427" s="13">
        <v>4196.67</v>
      </c>
      <c r="J427" s="13">
        <f t="shared" si="20"/>
        <v>5245.8374999999996</v>
      </c>
      <c r="K427" s="6"/>
    </row>
    <row r="428" spans="1:11" ht="24" x14ac:dyDescent="0.25">
      <c r="A428" s="3">
        <v>8</v>
      </c>
      <c r="B428" s="14" t="s">
        <v>366</v>
      </c>
      <c r="C428" s="15" t="str">
        <f>"00387/15"</f>
        <v>00387/15</v>
      </c>
      <c r="D428" s="15" t="str">
        <f t="shared" si="19"/>
        <v>INA INDUSTRIJA NAFTE D.D.</v>
      </c>
      <c r="E428" s="16">
        <v>42026</v>
      </c>
      <c r="F428" s="16"/>
      <c r="G428" s="13">
        <v>20000</v>
      </c>
      <c r="H428" s="16"/>
      <c r="I428" s="13">
        <v>11672.84</v>
      </c>
      <c r="J428" s="13">
        <f t="shared" si="20"/>
        <v>14591.05</v>
      </c>
      <c r="K428" s="6"/>
    </row>
    <row r="429" spans="1:11" ht="24" x14ac:dyDescent="0.25">
      <c r="A429" s="3">
        <v>9</v>
      </c>
      <c r="B429" s="14" t="s">
        <v>349</v>
      </c>
      <c r="C429" s="15" t="str">
        <f>"UG-50000234-00176/15"</f>
        <v>UG-50000234-00176/15</v>
      </c>
      <c r="D429" s="15" t="str">
        <f t="shared" si="19"/>
        <v>INA INDUSTRIJA NAFTE D.D.</v>
      </c>
      <c r="E429" s="16">
        <v>42005</v>
      </c>
      <c r="F429" s="16"/>
      <c r="G429" s="13">
        <v>0</v>
      </c>
      <c r="H429" s="16"/>
      <c r="I429" s="13">
        <v>613.85</v>
      </c>
      <c r="J429" s="13">
        <f t="shared" si="20"/>
        <v>767.3125</v>
      </c>
      <c r="K429" s="6"/>
    </row>
    <row r="430" spans="1:11" ht="24" x14ac:dyDescent="0.25">
      <c r="A430" s="3">
        <v>10</v>
      </c>
      <c r="B430" s="14" t="s">
        <v>49</v>
      </c>
      <c r="C430" s="15" t="str">
        <f>"17/2015"</f>
        <v>17/2015</v>
      </c>
      <c r="D430" s="15" t="str">
        <f t="shared" si="19"/>
        <v>INA INDUSTRIJA NAFTE D.D.</v>
      </c>
      <c r="E430" s="16">
        <v>42013</v>
      </c>
      <c r="F430" s="16"/>
      <c r="G430" s="13">
        <v>77372.59</v>
      </c>
      <c r="H430" s="16"/>
      <c r="I430" s="13">
        <v>77372.59</v>
      </c>
      <c r="J430" s="13">
        <f t="shared" si="20"/>
        <v>96715.737499999988</v>
      </c>
      <c r="K430" s="6"/>
    </row>
    <row r="431" spans="1:11" ht="24" x14ac:dyDescent="0.25">
      <c r="A431" s="3">
        <v>11</v>
      </c>
      <c r="B431" s="14" t="s">
        <v>367</v>
      </c>
      <c r="C431" s="15" t="str">
        <f>"INA-UG-26189/15"</f>
        <v>INA-UG-26189/15</v>
      </c>
      <c r="D431" s="15" t="str">
        <f t="shared" si="19"/>
        <v>INA INDUSTRIJA NAFTE D.D.</v>
      </c>
      <c r="E431" s="16">
        <v>42052</v>
      </c>
      <c r="F431" s="16"/>
      <c r="G431" s="13">
        <v>48800</v>
      </c>
      <c r="H431" s="16"/>
      <c r="I431" s="13">
        <v>13684.46</v>
      </c>
      <c r="J431" s="13">
        <f t="shared" si="20"/>
        <v>17105.574999999997</v>
      </c>
      <c r="K431" s="6"/>
    </row>
    <row r="432" spans="1:11" ht="24" x14ac:dyDescent="0.25">
      <c r="A432" s="3">
        <v>12</v>
      </c>
      <c r="B432" s="14" t="s">
        <v>156</v>
      </c>
      <c r="C432" s="15" t="str">
        <f>"UG-00427/15 MSPM"</f>
        <v>UG-00427/15 MSPM</v>
      </c>
      <c r="D432" s="15" t="str">
        <f t="shared" si="19"/>
        <v>INA INDUSTRIJA NAFTE D.D.</v>
      </c>
      <c r="E432" s="16">
        <v>42033</v>
      </c>
      <c r="F432" s="16"/>
      <c r="G432" s="13">
        <v>4425900</v>
      </c>
      <c r="H432" s="16"/>
      <c r="I432" s="13">
        <v>29875.38</v>
      </c>
      <c r="J432" s="13">
        <f t="shared" si="20"/>
        <v>37344.224999999999</v>
      </c>
      <c r="K432" s="6"/>
    </row>
    <row r="433" spans="1:11" ht="24" x14ac:dyDescent="0.25">
      <c r="A433" s="3">
        <v>13</v>
      </c>
      <c r="B433" s="14" t="s">
        <v>368</v>
      </c>
      <c r="C433" s="15" t="str">
        <f>"(UG:-03/15)"</f>
        <v>(UG:-03/15)</v>
      </c>
      <c r="D433" s="15" t="str">
        <f t="shared" si="19"/>
        <v>INA INDUSTRIJA NAFTE D.D.</v>
      </c>
      <c r="E433" s="16">
        <v>42027</v>
      </c>
      <c r="F433" s="16">
        <v>42720</v>
      </c>
      <c r="G433" s="13">
        <v>43369.9</v>
      </c>
      <c r="H433" s="16">
        <v>42720</v>
      </c>
      <c r="I433" s="13">
        <v>22461.18</v>
      </c>
      <c r="J433" s="13">
        <f t="shared" si="20"/>
        <v>28076.474999999999</v>
      </c>
      <c r="K433" s="6"/>
    </row>
    <row r="434" spans="1:11" ht="24" x14ac:dyDescent="0.25">
      <c r="A434" s="3">
        <v>14</v>
      </c>
      <c r="B434" s="14" t="s">
        <v>294</v>
      </c>
      <c r="C434" s="15" t="str">
        <f>"00468/15"</f>
        <v>00468/15</v>
      </c>
      <c r="D434" s="15" t="str">
        <f t="shared" si="19"/>
        <v>INA INDUSTRIJA NAFTE D.D.</v>
      </c>
      <c r="E434" s="16">
        <v>42040</v>
      </c>
      <c r="F434" s="16"/>
      <c r="G434" s="13">
        <v>35661.800000000003</v>
      </c>
      <c r="H434" s="16"/>
      <c r="I434" s="13">
        <v>30037.14</v>
      </c>
      <c r="J434" s="13">
        <f t="shared" si="20"/>
        <v>37546.425000000003</v>
      </c>
      <c r="K434" s="6"/>
    </row>
    <row r="435" spans="1:11" ht="24" x14ac:dyDescent="0.25">
      <c r="A435" s="3">
        <v>15</v>
      </c>
      <c r="B435" s="14"/>
      <c r="C435" s="15" t="str">
        <f>"50000234-00103/15"</f>
        <v>50000234-00103/15</v>
      </c>
      <c r="D435" s="15" t="str">
        <f t="shared" si="19"/>
        <v>INA INDUSTRIJA NAFTE D.D.</v>
      </c>
      <c r="E435" s="16">
        <v>42051</v>
      </c>
      <c r="F435" s="16"/>
      <c r="G435" s="13">
        <v>4174.08</v>
      </c>
      <c r="H435" s="16"/>
      <c r="I435" s="13">
        <v>563.11</v>
      </c>
      <c r="J435" s="13">
        <f t="shared" si="20"/>
        <v>703.88750000000005</v>
      </c>
      <c r="K435" s="6"/>
    </row>
    <row r="436" spans="1:11" ht="24" x14ac:dyDescent="0.25">
      <c r="A436" s="3">
        <v>16</v>
      </c>
      <c r="B436" s="14" t="s">
        <v>369</v>
      </c>
      <c r="C436" s="15" t="str">
        <f>"UG-50000234-00335/15"</f>
        <v>UG-50000234-00335/15</v>
      </c>
      <c r="D436" s="15" t="str">
        <f t="shared" si="19"/>
        <v>INA INDUSTRIJA NAFTE D.D.</v>
      </c>
      <c r="E436" s="16">
        <v>42024</v>
      </c>
      <c r="F436" s="16"/>
      <c r="G436" s="13">
        <v>5000</v>
      </c>
      <c r="H436" s="16"/>
      <c r="I436" s="13">
        <v>5000</v>
      </c>
      <c r="J436" s="13">
        <f t="shared" si="20"/>
        <v>6250</v>
      </c>
      <c r="K436" s="6"/>
    </row>
    <row r="437" spans="1:11" ht="24" x14ac:dyDescent="0.25">
      <c r="A437" s="3">
        <v>17</v>
      </c>
      <c r="B437" s="14"/>
      <c r="C437" s="15" t="str">
        <f>"UG-50000234-00142/15"</f>
        <v>UG-50000234-00142/15</v>
      </c>
      <c r="D437" s="15" t="str">
        <f t="shared" si="19"/>
        <v>INA INDUSTRIJA NAFTE D.D.</v>
      </c>
      <c r="E437" s="16">
        <v>42005</v>
      </c>
      <c r="F437" s="16"/>
      <c r="G437" s="13">
        <v>571.38</v>
      </c>
      <c r="H437" s="16"/>
      <c r="I437" s="13">
        <v>571.38</v>
      </c>
      <c r="J437" s="13">
        <f t="shared" si="20"/>
        <v>714.22500000000002</v>
      </c>
      <c r="K437" s="6"/>
    </row>
    <row r="438" spans="1:11" ht="24" x14ac:dyDescent="0.25">
      <c r="A438" s="3">
        <v>18</v>
      </c>
      <c r="B438" s="14" t="s">
        <v>227</v>
      </c>
      <c r="C438" s="15" t="str">
        <f>"GORIVO GRUPA 6 NG"</f>
        <v>GORIVO GRUPA 6 NG</v>
      </c>
      <c r="D438" s="15" t="str">
        <f t="shared" si="19"/>
        <v>INA INDUSTRIJA NAFTE D.D.</v>
      </c>
      <c r="E438" s="16">
        <v>42019</v>
      </c>
      <c r="F438" s="16"/>
      <c r="G438" s="13">
        <v>6756.3</v>
      </c>
      <c r="H438" s="16"/>
      <c r="I438" s="13">
        <v>778.26</v>
      </c>
      <c r="J438" s="13">
        <f t="shared" si="20"/>
        <v>972.82500000000005</v>
      </c>
      <c r="K438" s="6"/>
    </row>
    <row r="439" spans="1:11" ht="24" x14ac:dyDescent="0.25">
      <c r="A439" s="3">
        <v>19</v>
      </c>
      <c r="B439" s="14" t="s">
        <v>212</v>
      </c>
      <c r="C439" s="15" t="str">
        <f>"561-01-15-1131"</f>
        <v>561-01-15-1131</v>
      </c>
      <c r="D439" s="15" t="str">
        <f t="shared" si="19"/>
        <v>INA INDUSTRIJA NAFTE D.D.</v>
      </c>
      <c r="E439" s="16">
        <v>42114</v>
      </c>
      <c r="F439" s="16"/>
      <c r="G439" s="13">
        <v>105910</v>
      </c>
      <c r="H439" s="16"/>
      <c r="I439" s="13">
        <v>4088.81</v>
      </c>
      <c r="J439" s="13">
        <f t="shared" si="20"/>
        <v>5111.0124999999998</v>
      </c>
      <c r="K439" s="6"/>
    </row>
    <row r="440" spans="1:11" ht="24" x14ac:dyDescent="0.25">
      <c r="A440" s="3">
        <v>20</v>
      </c>
      <c r="B440" s="14"/>
      <c r="C440" s="15" t="str">
        <f>"UG-00608/15"</f>
        <v>UG-00608/15</v>
      </c>
      <c r="D440" s="15" t="str">
        <f t="shared" si="19"/>
        <v>INA INDUSTRIJA NAFTE D.D.</v>
      </c>
      <c r="E440" s="16">
        <v>42005</v>
      </c>
      <c r="F440" s="16"/>
      <c r="G440" s="13">
        <v>1378</v>
      </c>
      <c r="H440" s="16"/>
      <c r="I440" s="13">
        <v>1378</v>
      </c>
      <c r="J440" s="13">
        <f t="shared" si="20"/>
        <v>1722.5</v>
      </c>
      <c r="K440" s="6"/>
    </row>
    <row r="441" spans="1:11" ht="24" x14ac:dyDescent="0.25">
      <c r="A441" s="3">
        <v>21</v>
      </c>
      <c r="B441" s="14" t="s">
        <v>370</v>
      </c>
      <c r="C441" s="15" t="str">
        <f>"UG-00429/15"</f>
        <v>UG-00429/15</v>
      </c>
      <c r="D441" s="15" t="str">
        <f t="shared" si="19"/>
        <v>INA INDUSTRIJA NAFTE D.D.</v>
      </c>
      <c r="E441" s="16">
        <v>42036</v>
      </c>
      <c r="F441" s="16"/>
      <c r="G441" s="13">
        <v>6392</v>
      </c>
      <c r="H441" s="16"/>
      <c r="I441" s="13">
        <v>808.52</v>
      </c>
      <c r="J441" s="13">
        <f t="shared" si="20"/>
        <v>1010.65</v>
      </c>
      <c r="K441" s="6"/>
    </row>
    <row r="442" spans="1:11" ht="24" x14ac:dyDescent="0.25">
      <c r="A442" s="3">
        <v>22</v>
      </c>
      <c r="B442" s="14" t="s">
        <v>153</v>
      </c>
      <c r="C442" s="15" t="str">
        <f>"UG-50000234-00413"</f>
        <v>UG-50000234-00413</v>
      </c>
      <c r="D442" s="15" t="str">
        <f t="shared" si="19"/>
        <v>INA INDUSTRIJA NAFTE D.D.</v>
      </c>
      <c r="E442" s="16">
        <v>42033</v>
      </c>
      <c r="F442" s="16"/>
      <c r="G442" s="13">
        <v>59462</v>
      </c>
      <c r="H442" s="16"/>
      <c r="I442" s="13">
        <v>41226.49</v>
      </c>
      <c r="J442" s="13">
        <f t="shared" si="20"/>
        <v>51533.112499999996</v>
      </c>
      <c r="K442" s="6"/>
    </row>
    <row r="443" spans="1:11" ht="24" x14ac:dyDescent="0.25">
      <c r="A443" s="3">
        <v>23</v>
      </c>
      <c r="B443" s="14" t="s">
        <v>154</v>
      </c>
      <c r="C443" s="15" t="str">
        <f>"UG-50000234-00348/15"</f>
        <v>UG-50000234-00348/15</v>
      </c>
      <c r="D443" s="15" t="str">
        <f t="shared" si="19"/>
        <v>INA INDUSTRIJA NAFTE D.D.</v>
      </c>
      <c r="E443" s="16">
        <v>42005</v>
      </c>
      <c r="F443" s="16"/>
      <c r="G443" s="13">
        <v>1207.76</v>
      </c>
      <c r="H443" s="16"/>
      <c r="I443" s="13">
        <v>1207.76</v>
      </c>
      <c r="J443" s="13">
        <f t="shared" si="20"/>
        <v>1509.7</v>
      </c>
      <c r="K443" s="6"/>
    </row>
    <row r="444" spans="1:11" ht="24" x14ac:dyDescent="0.25">
      <c r="A444" s="3">
        <v>24</v>
      </c>
      <c r="B444" s="14" t="s">
        <v>371</v>
      </c>
      <c r="C444" s="15" t="str">
        <f>"UG-50000234-00305/15"</f>
        <v>UG-50000234-00305/15</v>
      </c>
      <c r="D444" s="15" t="str">
        <f t="shared" si="19"/>
        <v>INA INDUSTRIJA NAFTE D.D.</v>
      </c>
      <c r="E444" s="16">
        <v>42025</v>
      </c>
      <c r="F444" s="16"/>
      <c r="G444" s="13">
        <v>4200</v>
      </c>
      <c r="H444" s="16"/>
      <c r="I444" s="13">
        <v>233.63</v>
      </c>
      <c r="J444" s="13">
        <f t="shared" si="20"/>
        <v>292.03750000000002</v>
      </c>
      <c r="K444" s="6"/>
    </row>
    <row r="445" spans="1:11" ht="24" x14ac:dyDescent="0.25">
      <c r="A445" s="3">
        <v>25</v>
      </c>
      <c r="B445" s="14" t="s">
        <v>372</v>
      </c>
      <c r="C445" s="15" t="str">
        <f>"02-2015"</f>
        <v>02-2015</v>
      </c>
      <c r="D445" s="15" t="str">
        <f t="shared" si="19"/>
        <v>INA INDUSTRIJA NAFTE D.D.</v>
      </c>
      <c r="E445" s="16">
        <v>42025</v>
      </c>
      <c r="F445" s="16"/>
      <c r="G445" s="13">
        <v>3000</v>
      </c>
      <c r="H445" s="16"/>
      <c r="I445" s="13">
        <v>0</v>
      </c>
      <c r="J445" s="13">
        <f t="shared" si="20"/>
        <v>0</v>
      </c>
      <c r="K445" s="6"/>
    </row>
    <row r="446" spans="1:11" ht="24" x14ac:dyDescent="0.25">
      <c r="A446" s="3">
        <v>26</v>
      </c>
      <c r="B446" s="14" t="s">
        <v>46</v>
      </c>
      <c r="C446" s="15" t="str">
        <f>"UG-00439/15"</f>
        <v>UG-00439/15</v>
      </c>
      <c r="D446" s="15" t="str">
        <f t="shared" si="19"/>
        <v>INA INDUSTRIJA NAFTE D.D.</v>
      </c>
      <c r="E446" s="16">
        <v>42032</v>
      </c>
      <c r="F446" s="16">
        <v>42369</v>
      </c>
      <c r="G446" s="13">
        <v>144236</v>
      </c>
      <c r="H446" s="16">
        <v>42369</v>
      </c>
      <c r="I446" s="13">
        <v>108542.09</v>
      </c>
      <c r="J446" s="13">
        <f t="shared" si="20"/>
        <v>135677.61249999999</v>
      </c>
      <c r="K446" s="6"/>
    </row>
    <row r="447" spans="1:11" ht="36" x14ac:dyDescent="0.25">
      <c r="A447" s="3">
        <v>27</v>
      </c>
      <c r="B447" s="14" t="s">
        <v>230</v>
      </c>
      <c r="C447" s="15" t="str">
        <f>"00363/15"</f>
        <v>00363/15</v>
      </c>
      <c r="D447" s="15" t="str">
        <f t="shared" si="19"/>
        <v>INA INDUSTRIJA NAFTE D.D.</v>
      </c>
      <c r="E447" s="16">
        <v>42026</v>
      </c>
      <c r="F447" s="16"/>
      <c r="G447" s="13">
        <v>6158</v>
      </c>
      <c r="H447" s="16"/>
      <c r="I447" s="13">
        <v>3106.72</v>
      </c>
      <c r="J447" s="13">
        <f t="shared" si="20"/>
        <v>3883.3999999999996</v>
      </c>
      <c r="K447" s="6"/>
    </row>
    <row r="448" spans="1:11" ht="24" x14ac:dyDescent="0.25">
      <c r="A448" s="3">
        <v>28</v>
      </c>
      <c r="B448" s="14" t="s">
        <v>163</v>
      </c>
      <c r="C448" s="15" t="str">
        <f>"50000234-00250/15"</f>
        <v>50000234-00250/15</v>
      </c>
      <c r="D448" s="15" t="str">
        <f t="shared" si="19"/>
        <v>INA INDUSTRIJA NAFTE D.D.</v>
      </c>
      <c r="E448" s="16">
        <v>42023</v>
      </c>
      <c r="F448" s="16">
        <v>42369</v>
      </c>
      <c r="G448" s="13">
        <v>15066</v>
      </c>
      <c r="H448" s="16">
        <v>42369</v>
      </c>
      <c r="I448" s="13">
        <v>10672.61</v>
      </c>
      <c r="J448" s="13">
        <f t="shared" si="20"/>
        <v>13340.762500000001</v>
      </c>
      <c r="K448" s="6"/>
    </row>
    <row r="449" spans="1:11" ht="24" x14ac:dyDescent="0.25">
      <c r="A449" s="3">
        <v>29</v>
      </c>
      <c r="B449" s="14" t="s">
        <v>211</v>
      </c>
      <c r="C449" s="15" t="str">
        <f>"RA-14-03/33"</f>
        <v>RA-14-03/33</v>
      </c>
      <c r="D449" s="15" t="str">
        <f t="shared" si="19"/>
        <v>INA INDUSTRIJA NAFTE D.D.</v>
      </c>
      <c r="E449" s="16">
        <v>41996</v>
      </c>
      <c r="F449" s="16"/>
      <c r="G449" s="13">
        <v>168056.14</v>
      </c>
      <c r="H449" s="16"/>
      <c r="I449" s="13">
        <v>168056.14</v>
      </c>
      <c r="J449" s="13">
        <f t="shared" si="20"/>
        <v>210070.17500000002</v>
      </c>
      <c r="K449" s="6"/>
    </row>
    <row r="450" spans="1:11" ht="24" x14ac:dyDescent="0.25">
      <c r="A450" s="3">
        <v>30</v>
      </c>
      <c r="B450" s="14" t="s">
        <v>176</v>
      </c>
      <c r="C450" s="15" t="str">
        <f>"UG-00739/15"</f>
        <v>UG-00739/15</v>
      </c>
      <c r="D450" s="15" t="str">
        <f t="shared" si="19"/>
        <v>INA INDUSTRIJA NAFTE D.D.</v>
      </c>
      <c r="E450" s="16">
        <v>42235</v>
      </c>
      <c r="F450" s="16">
        <v>42722</v>
      </c>
      <c r="G450" s="13">
        <v>115617.60000000001</v>
      </c>
      <c r="H450" s="16">
        <v>42722</v>
      </c>
      <c r="I450" s="13">
        <v>12174.13</v>
      </c>
      <c r="J450" s="13">
        <f t="shared" si="20"/>
        <v>15217.662499999999</v>
      </c>
      <c r="K450" s="6"/>
    </row>
    <row r="451" spans="1:11" ht="36" x14ac:dyDescent="0.25">
      <c r="A451" s="3">
        <v>31</v>
      </c>
      <c r="B451" s="14" t="s">
        <v>233</v>
      </c>
      <c r="C451" s="15" t="str">
        <f>"UG-00746/15"</f>
        <v>UG-00746/15</v>
      </c>
      <c r="D451" s="15" t="str">
        <f t="shared" si="19"/>
        <v>INA INDUSTRIJA NAFTE D.D.</v>
      </c>
      <c r="E451" s="16">
        <v>42250</v>
      </c>
      <c r="F451" s="16">
        <v>42369</v>
      </c>
      <c r="G451" s="13">
        <v>3630.72</v>
      </c>
      <c r="H451" s="16">
        <v>42369</v>
      </c>
      <c r="I451" s="13">
        <v>2312.7800000000002</v>
      </c>
      <c r="J451" s="13">
        <f t="shared" si="20"/>
        <v>2890.9750000000004</v>
      </c>
      <c r="K451" s="6"/>
    </row>
    <row r="452" spans="1:11" ht="24" x14ac:dyDescent="0.25">
      <c r="A452" s="3">
        <v>32</v>
      </c>
      <c r="B452" s="14" t="s">
        <v>232</v>
      </c>
      <c r="C452" s="15" t="str">
        <f>"UG-00750/15"</f>
        <v>UG-00750/15</v>
      </c>
      <c r="D452" s="15" t="str">
        <f t="shared" si="19"/>
        <v>INA INDUSTRIJA NAFTE D.D.</v>
      </c>
      <c r="E452" s="16">
        <v>42262</v>
      </c>
      <c r="F452" s="16">
        <v>42369</v>
      </c>
      <c r="G452" s="13">
        <v>24052.85</v>
      </c>
      <c r="H452" s="16">
        <v>42369</v>
      </c>
      <c r="I452" s="13">
        <v>24052.85</v>
      </c>
      <c r="J452" s="13">
        <f t="shared" si="20"/>
        <v>30066.0625</v>
      </c>
      <c r="K452" s="6"/>
    </row>
    <row r="453" spans="1:11" ht="24" x14ac:dyDescent="0.25">
      <c r="A453" s="3">
        <v>33</v>
      </c>
      <c r="B453" s="14" t="s">
        <v>235</v>
      </c>
      <c r="C453" s="15" t="str">
        <f>"UG-00733/15"</f>
        <v>UG-00733/15</v>
      </c>
      <c r="D453" s="15" t="str">
        <f t="shared" si="19"/>
        <v>INA INDUSTRIJA NAFTE D.D.</v>
      </c>
      <c r="E453" s="16">
        <v>42240</v>
      </c>
      <c r="F453" s="16">
        <v>42722</v>
      </c>
      <c r="G453" s="13">
        <v>28556</v>
      </c>
      <c r="H453" s="16">
        <v>42722</v>
      </c>
      <c r="I453" s="13">
        <v>0</v>
      </c>
      <c r="J453" s="13">
        <f t="shared" si="20"/>
        <v>0</v>
      </c>
      <c r="K453" s="6"/>
    </row>
    <row r="454" spans="1:11" ht="24" x14ac:dyDescent="0.25">
      <c r="A454" s="3">
        <v>34</v>
      </c>
      <c r="B454" s="14" t="s">
        <v>234</v>
      </c>
      <c r="C454" s="15" t="str">
        <f>"UG-00735/15"</f>
        <v>UG-00735/15</v>
      </c>
      <c r="D454" s="15" t="str">
        <f t="shared" si="19"/>
        <v>INA INDUSTRIJA NAFTE D.D.</v>
      </c>
      <c r="E454" s="16">
        <v>42235</v>
      </c>
      <c r="F454" s="16">
        <v>42722</v>
      </c>
      <c r="G454" s="13">
        <v>7388.8</v>
      </c>
      <c r="H454" s="16">
        <v>42722</v>
      </c>
      <c r="I454" s="13">
        <v>0</v>
      </c>
      <c r="J454" s="13">
        <f t="shared" si="20"/>
        <v>0</v>
      </c>
      <c r="K454" s="6"/>
    </row>
    <row r="455" spans="1:11" ht="24" x14ac:dyDescent="0.25">
      <c r="A455" s="3">
        <v>35</v>
      </c>
      <c r="B455" s="14" t="s">
        <v>373</v>
      </c>
      <c r="C455" s="15" t="str">
        <f>"UG-00704/15"</f>
        <v>UG-00704/15</v>
      </c>
      <c r="D455" s="15" t="str">
        <f t="shared" si="19"/>
        <v>INA INDUSTRIJA NAFTE D.D.</v>
      </c>
      <c r="E455" s="16">
        <v>42184</v>
      </c>
      <c r="F455" s="16">
        <v>42722</v>
      </c>
      <c r="G455" s="13">
        <v>1646.4</v>
      </c>
      <c r="H455" s="16">
        <v>42722</v>
      </c>
      <c r="I455" s="13">
        <v>126.47</v>
      </c>
      <c r="J455" s="13">
        <f t="shared" si="20"/>
        <v>158.08750000000001</v>
      </c>
      <c r="K455" s="6"/>
    </row>
    <row r="456" spans="1:11" ht="24" x14ac:dyDescent="0.25">
      <c r="A456" s="3">
        <v>36</v>
      </c>
      <c r="B456" s="14" t="s">
        <v>238</v>
      </c>
      <c r="C456" s="15" t="str">
        <f>"2/2015-3"</f>
        <v>2/2015-3</v>
      </c>
      <c r="D456" s="15" t="str">
        <f t="shared" si="19"/>
        <v>INA INDUSTRIJA NAFTE D.D.</v>
      </c>
      <c r="E456" s="16">
        <v>42149</v>
      </c>
      <c r="F456" s="16">
        <v>42723</v>
      </c>
      <c r="G456" s="13">
        <v>15195.2</v>
      </c>
      <c r="H456" s="16">
        <v>42723</v>
      </c>
      <c r="I456" s="13">
        <v>440.05</v>
      </c>
      <c r="J456" s="13">
        <f t="shared" si="20"/>
        <v>550.0625</v>
      </c>
      <c r="K456" s="6"/>
    </row>
    <row r="457" spans="1:11" ht="36" x14ac:dyDescent="0.25">
      <c r="A457" s="3">
        <v>37</v>
      </c>
      <c r="B457" s="14" t="s">
        <v>374</v>
      </c>
      <c r="C457" s="15" t="str">
        <f>"UG-00664/15"</f>
        <v>UG-00664/15</v>
      </c>
      <c r="D457" s="15" t="str">
        <f t="shared" si="19"/>
        <v>INA INDUSTRIJA NAFTE D.D.</v>
      </c>
      <c r="E457" s="16">
        <v>42138</v>
      </c>
      <c r="F457" s="16">
        <v>42369</v>
      </c>
      <c r="G457" s="13">
        <v>81457.600000000006</v>
      </c>
      <c r="H457" s="16">
        <v>42369</v>
      </c>
      <c r="I457" s="13">
        <v>58053.83</v>
      </c>
      <c r="J457" s="13">
        <f t="shared" si="20"/>
        <v>72567.287500000006</v>
      </c>
      <c r="K457" s="6"/>
    </row>
    <row r="458" spans="1:11" ht="24" x14ac:dyDescent="0.25">
      <c r="A458" s="3">
        <v>38</v>
      </c>
      <c r="B458" s="14" t="s">
        <v>375</v>
      </c>
      <c r="C458" s="15" t="str">
        <f>"UG-00662/15"</f>
        <v>UG-00662/15</v>
      </c>
      <c r="D458" s="15" t="str">
        <f t="shared" si="19"/>
        <v>INA INDUSTRIJA NAFTE D.D.</v>
      </c>
      <c r="E458" s="16">
        <v>42142</v>
      </c>
      <c r="F458" s="16">
        <v>42369</v>
      </c>
      <c r="G458" s="13">
        <v>11985.6</v>
      </c>
      <c r="H458" s="16">
        <v>42369</v>
      </c>
      <c r="I458" s="13">
        <v>13078</v>
      </c>
      <c r="J458" s="13">
        <f t="shared" si="20"/>
        <v>16347.5</v>
      </c>
      <c r="K458" s="6"/>
    </row>
    <row r="459" spans="1:11" ht="24" x14ac:dyDescent="0.25">
      <c r="A459" s="3">
        <v>39</v>
      </c>
      <c r="B459" s="14" t="s">
        <v>166</v>
      </c>
      <c r="C459" s="15" t="str">
        <f>"UG-00642/15"</f>
        <v>UG-00642/15</v>
      </c>
      <c r="D459" s="15" t="str">
        <f t="shared" si="19"/>
        <v>INA INDUSTRIJA NAFTE D.D.</v>
      </c>
      <c r="E459" s="16">
        <v>42122</v>
      </c>
      <c r="F459" s="16">
        <v>42369</v>
      </c>
      <c r="G459" s="13">
        <v>14344</v>
      </c>
      <c r="H459" s="16">
        <v>42369</v>
      </c>
      <c r="I459" s="13">
        <v>2200.5</v>
      </c>
      <c r="J459" s="13">
        <f t="shared" si="20"/>
        <v>2750.625</v>
      </c>
      <c r="K459" s="6"/>
    </row>
    <row r="460" spans="1:11" ht="24" x14ac:dyDescent="0.25">
      <c r="A460" s="3">
        <v>40</v>
      </c>
      <c r="B460" s="14" t="s">
        <v>237</v>
      </c>
      <c r="C460" s="15" t="str">
        <f>"4/2014-108"</f>
        <v>4/2014-108</v>
      </c>
      <c r="D460" s="15" t="str">
        <f t="shared" si="19"/>
        <v>INA INDUSTRIJA NAFTE D.D.</v>
      </c>
      <c r="E460" s="16">
        <v>42125</v>
      </c>
      <c r="F460" s="16">
        <v>42369</v>
      </c>
      <c r="G460" s="13">
        <v>0</v>
      </c>
      <c r="H460" s="16">
        <v>42369</v>
      </c>
      <c r="I460" s="13">
        <v>31068.69</v>
      </c>
      <c r="J460" s="13">
        <f t="shared" si="20"/>
        <v>38835.862499999996</v>
      </c>
      <c r="K460" s="6"/>
    </row>
    <row r="461" spans="1:11" ht="24" x14ac:dyDescent="0.25">
      <c r="A461" s="3">
        <v>41</v>
      </c>
      <c r="B461" s="14" t="s">
        <v>164</v>
      </c>
      <c r="C461" s="15" t="str">
        <f>"UG-00671/15"</f>
        <v>UG-00671/15</v>
      </c>
      <c r="D461" s="15" t="str">
        <f t="shared" si="19"/>
        <v>INA INDUSTRIJA NAFTE D.D.</v>
      </c>
      <c r="E461" s="16">
        <v>42142</v>
      </c>
      <c r="F461" s="16">
        <v>42369</v>
      </c>
      <c r="G461" s="13">
        <v>39776</v>
      </c>
      <c r="H461" s="16">
        <v>42369</v>
      </c>
      <c r="I461" s="13">
        <v>0</v>
      </c>
      <c r="J461" s="13">
        <f t="shared" si="20"/>
        <v>0</v>
      </c>
      <c r="K461" s="6"/>
    </row>
    <row r="462" spans="1:11" ht="24" x14ac:dyDescent="0.25">
      <c r="A462" s="3">
        <v>42</v>
      </c>
      <c r="B462" s="14" t="s">
        <v>376</v>
      </c>
      <c r="C462" s="15" t="str">
        <f>"UG-00663/15"</f>
        <v>UG-00663/15</v>
      </c>
      <c r="D462" s="15" t="str">
        <f t="shared" si="19"/>
        <v>INA INDUSTRIJA NAFTE D.D.</v>
      </c>
      <c r="E462" s="16">
        <v>42138</v>
      </c>
      <c r="F462" s="16">
        <v>42369</v>
      </c>
      <c r="G462" s="13">
        <v>4700.8</v>
      </c>
      <c r="H462" s="16">
        <v>42369</v>
      </c>
      <c r="I462" s="13">
        <v>1212.3</v>
      </c>
      <c r="J462" s="13">
        <f t="shared" si="20"/>
        <v>1515.375</v>
      </c>
      <c r="K462" s="6"/>
    </row>
    <row r="463" spans="1:11" ht="24" x14ac:dyDescent="0.25">
      <c r="A463" s="3">
        <v>43</v>
      </c>
      <c r="B463" s="14" t="s">
        <v>239</v>
      </c>
      <c r="C463" s="15" t="str">
        <f>"UG-00659/15"</f>
        <v>UG-00659/15</v>
      </c>
      <c r="D463" s="15" t="str">
        <f t="shared" si="19"/>
        <v>INA INDUSTRIJA NAFTE D.D.</v>
      </c>
      <c r="E463" s="16">
        <v>42125</v>
      </c>
      <c r="F463" s="16">
        <v>42369</v>
      </c>
      <c r="G463" s="13">
        <v>10760</v>
      </c>
      <c r="H463" s="16">
        <v>42369</v>
      </c>
      <c r="I463" s="13">
        <v>13900</v>
      </c>
      <c r="J463" s="13">
        <f t="shared" si="20"/>
        <v>17375</v>
      </c>
      <c r="K463" s="6"/>
    </row>
    <row r="464" spans="1:11" ht="24" x14ac:dyDescent="0.25">
      <c r="A464" s="3">
        <v>44</v>
      </c>
      <c r="B464" s="14" t="s">
        <v>58</v>
      </c>
      <c r="C464" s="15" t="str">
        <f>"UG-00650/15"</f>
        <v>UG-00650/15</v>
      </c>
      <c r="D464" s="15" t="str">
        <f t="shared" si="19"/>
        <v>INA INDUSTRIJA NAFTE D.D.</v>
      </c>
      <c r="E464" s="16">
        <v>42128</v>
      </c>
      <c r="F464" s="16">
        <v>42389</v>
      </c>
      <c r="G464" s="13">
        <v>260757.6</v>
      </c>
      <c r="H464" s="16">
        <v>42389</v>
      </c>
      <c r="I464" s="13">
        <v>113613.63</v>
      </c>
      <c r="J464" s="13">
        <f t="shared" si="20"/>
        <v>142017.03750000001</v>
      </c>
      <c r="K464" s="6"/>
    </row>
    <row r="465" spans="1:11" ht="24" x14ac:dyDescent="0.25">
      <c r="A465" s="3">
        <v>45</v>
      </c>
      <c r="B465" s="14" t="s">
        <v>41</v>
      </c>
      <c r="C465" s="15" t="str">
        <f>"6-DUSJN/15"</f>
        <v>6-DUSJN/15</v>
      </c>
      <c r="D465" s="15" t="str">
        <f t="shared" si="19"/>
        <v>INA INDUSTRIJA NAFTE D.D.</v>
      </c>
      <c r="E465" s="16">
        <v>42103</v>
      </c>
      <c r="F465" s="16">
        <v>42469</v>
      </c>
      <c r="G465" s="13">
        <v>62806.400000000001</v>
      </c>
      <c r="H465" s="16">
        <v>42469</v>
      </c>
      <c r="I465" s="13">
        <v>38400</v>
      </c>
      <c r="J465" s="13">
        <f t="shared" si="20"/>
        <v>48000</v>
      </c>
      <c r="K465" s="6"/>
    </row>
    <row r="466" spans="1:11" ht="36" x14ac:dyDescent="0.25">
      <c r="A466" s="3">
        <v>46</v>
      </c>
      <c r="B466" s="14" t="s">
        <v>242</v>
      </c>
      <c r="C466" s="15" t="str">
        <f>"UG-00617/15"</f>
        <v>UG-00617/15</v>
      </c>
      <c r="D466" s="15" t="str">
        <f t="shared" si="19"/>
        <v>INA INDUSTRIJA NAFTE D.D.</v>
      </c>
      <c r="E466" s="16">
        <v>42103</v>
      </c>
      <c r="F466" s="16">
        <v>42369</v>
      </c>
      <c r="G466" s="13">
        <v>52889.599999999999</v>
      </c>
      <c r="H466" s="16">
        <v>42369</v>
      </c>
      <c r="I466" s="13">
        <v>12018.03</v>
      </c>
      <c r="J466" s="13">
        <f t="shared" si="20"/>
        <v>15022.5375</v>
      </c>
      <c r="K466" s="6"/>
    </row>
    <row r="467" spans="1:11" ht="24" x14ac:dyDescent="0.25">
      <c r="A467" s="3">
        <v>47</v>
      </c>
      <c r="B467" s="14" t="s">
        <v>178</v>
      </c>
      <c r="C467" s="15" t="str">
        <f>"UG-00619/15"</f>
        <v>UG-00619/15</v>
      </c>
      <c r="D467" s="15" t="str">
        <f t="shared" si="19"/>
        <v>INA INDUSTRIJA NAFTE D.D.</v>
      </c>
      <c r="E467" s="16">
        <v>42094</v>
      </c>
      <c r="F467" s="16">
        <v>42369</v>
      </c>
      <c r="G467" s="13">
        <v>3976.66</v>
      </c>
      <c r="H467" s="16">
        <v>42369</v>
      </c>
      <c r="I467" s="13">
        <v>3976.66</v>
      </c>
      <c r="J467" s="13">
        <f t="shared" si="20"/>
        <v>4970.8249999999998</v>
      </c>
      <c r="K467" s="6"/>
    </row>
    <row r="468" spans="1:11" ht="24" x14ac:dyDescent="0.25">
      <c r="A468" s="3">
        <v>48</v>
      </c>
      <c r="B468" s="14" t="s">
        <v>244</v>
      </c>
      <c r="C468" s="15" t="str">
        <f>"UG-00610/15"</f>
        <v>UG-00610/15</v>
      </c>
      <c r="D468" s="15" t="str">
        <f t="shared" si="19"/>
        <v>INA INDUSTRIJA NAFTE D.D.</v>
      </c>
      <c r="E468" s="16">
        <v>42090</v>
      </c>
      <c r="F468" s="16">
        <v>42369</v>
      </c>
      <c r="G468" s="13">
        <v>70536</v>
      </c>
      <c r="H468" s="16">
        <v>42369</v>
      </c>
      <c r="I468" s="40">
        <v>0</v>
      </c>
      <c r="J468" s="40">
        <f t="shared" si="20"/>
        <v>0</v>
      </c>
      <c r="K468" s="6"/>
    </row>
    <row r="469" spans="1:11" ht="24" x14ac:dyDescent="0.25">
      <c r="A469" s="3">
        <v>49</v>
      </c>
      <c r="B469" s="14" t="s">
        <v>177</v>
      </c>
      <c r="C469" s="15" t="str">
        <f>"UG-00597/15"</f>
        <v>UG-00597/15</v>
      </c>
      <c r="D469" s="15" t="str">
        <f t="shared" si="19"/>
        <v>INA INDUSTRIJA NAFTE D.D.</v>
      </c>
      <c r="E469" s="16">
        <v>42103</v>
      </c>
      <c r="F469" s="16">
        <v>42369</v>
      </c>
      <c r="G469" s="13">
        <v>133789.76000000001</v>
      </c>
      <c r="H469" s="16">
        <v>42369</v>
      </c>
      <c r="I469" s="13">
        <v>51629.42</v>
      </c>
      <c r="J469" s="13">
        <f t="shared" si="20"/>
        <v>64536.774999999994</v>
      </c>
      <c r="K469" s="6"/>
    </row>
    <row r="470" spans="1:11" ht="24" x14ac:dyDescent="0.25">
      <c r="A470" s="3">
        <v>50</v>
      </c>
      <c r="B470" s="14" t="s">
        <v>240</v>
      </c>
      <c r="C470" s="15" t="str">
        <f>"UG-00634/15"</f>
        <v>UG-00634/15</v>
      </c>
      <c r="D470" s="15" t="str">
        <f t="shared" si="19"/>
        <v>INA INDUSTRIJA NAFTE D.D.</v>
      </c>
      <c r="E470" s="16">
        <v>42122</v>
      </c>
      <c r="F470" s="16">
        <v>42369</v>
      </c>
      <c r="G470" s="13">
        <v>14344</v>
      </c>
      <c r="H470" s="16">
        <v>42369</v>
      </c>
      <c r="I470" s="13">
        <v>3101.8</v>
      </c>
      <c r="J470" s="13">
        <f t="shared" si="20"/>
        <v>3877.25</v>
      </c>
      <c r="K470" s="6"/>
    </row>
    <row r="471" spans="1:11" ht="24" x14ac:dyDescent="0.25">
      <c r="A471" s="3">
        <v>51</v>
      </c>
      <c r="B471" s="14" t="s">
        <v>243</v>
      </c>
      <c r="C471" s="15" t="str">
        <f>"UG-00644/15"</f>
        <v>UG-00644/15</v>
      </c>
      <c r="D471" s="15" t="str">
        <f t="shared" si="19"/>
        <v>INA INDUSTRIJA NAFTE D.D.</v>
      </c>
      <c r="E471" s="16">
        <v>42121</v>
      </c>
      <c r="F471" s="16">
        <v>42369</v>
      </c>
      <c r="G471" s="13">
        <v>37500</v>
      </c>
      <c r="H471" s="16">
        <v>42369</v>
      </c>
      <c r="I471" s="13">
        <v>18103</v>
      </c>
      <c r="J471" s="13">
        <f t="shared" si="20"/>
        <v>22628.75</v>
      </c>
      <c r="K471" s="6"/>
    </row>
    <row r="472" spans="1:11" ht="24" x14ac:dyDescent="0.25">
      <c r="A472" s="3">
        <v>52</v>
      </c>
      <c r="B472" s="14" t="s">
        <v>377</v>
      </c>
      <c r="C472" s="15" t="str">
        <f>"UG-00640/15"</f>
        <v>UG-00640/15</v>
      </c>
      <c r="D472" s="15" t="str">
        <f t="shared" si="19"/>
        <v>INA INDUSTRIJA NAFTE D.D.</v>
      </c>
      <c r="E472" s="16">
        <v>42115</v>
      </c>
      <c r="F472" s="16">
        <v>42369</v>
      </c>
      <c r="G472" s="13">
        <v>794.88</v>
      </c>
      <c r="H472" s="16">
        <v>42369</v>
      </c>
      <c r="I472" s="13">
        <v>209.01</v>
      </c>
      <c r="J472" s="13">
        <f t="shared" si="20"/>
        <v>261.26249999999999</v>
      </c>
      <c r="K472" s="6"/>
    </row>
    <row r="473" spans="1:11" ht="24" x14ac:dyDescent="0.25">
      <c r="A473" s="3">
        <v>53</v>
      </c>
      <c r="B473" s="14" t="s">
        <v>241</v>
      </c>
      <c r="C473" s="15" t="str">
        <f>"UG-00646/15"</f>
        <v>UG-00646/15</v>
      </c>
      <c r="D473" s="15" t="str">
        <f t="shared" si="19"/>
        <v>INA INDUSTRIJA NAFTE D.D.</v>
      </c>
      <c r="E473" s="16">
        <v>42117</v>
      </c>
      <c r="F473" s="16">
        <v>42369</v>
      </c>
      <c r="G473" s="13">
        <v>7117.6</v>
      </c>
      <c r="H473" s="16">
        <v>42369</v>
      </c>
      <c r="I473" s="13">
        <v>3532.54</v>
      </c>
      <c r="J473" s="13">
        <f t="shared" si="20"/>
        <v>4415.6750000000002</v>
      </c>
      <c r="K473" s="6"/>
    </row>
    <row r="474" spans="1:11" ht="36" x14ac:dyDescent="0.25">
      <c r="A474" s="3">
        <v>54</v>
      </c>
      <c r="B474" s="14" t="s">
        <v>129</v>
      </c>
      <c r="C474" s="15" t="str">
        <f>"UG-00630/15"</f>
        <v>UG-00630/15</v>
      </c>
      <c r="D474" s="15" t="str">
        <f t="shared" si="19"/>
        <v>INA INDUSTRIJA NAFTE D.D.</v>
      </c>
      <c r="E474" s="16">
        <v>42107</v>
      </c>
      <c r="F474" s="16">
        <v>42369</v>
      </c>
      <c r="G474" s="13">
        <v>22300.799999999999</v>
      </c>
      <c r="H474" s="16">
        <v>42369</v>
      </c>
      <c r="I474" s="13">
        <v>8338.85</v>
      </c>
      <c r="J474" s="13">
        <f t="shared" si="20"/>
        <v>10423.5625</v>
      </c>
      <c r="K474" s="6"/>
    </row>
    <row r="475" spans="1:11" ht="24" x14ac:dyDescent="0.25">
      <c r="A475" s="3">
        <v>55</v>
      </c>
      <c r="B475" s="14" t="s">
        <v>30</v>
      </c>
      <c r="C475" s="15" t="str">
        <f>"UG-00612/15"</f>
        <v>UG-00612/15</v>
      </c>
      <c r="D475" s="15" t="str">
        <f t="shared" si="19"/>
        <v>INA INDUSTRIJA NAFTE D.D.</v>
      </c>
      <c r="E475" s="16">
        <v>42090</v>
      </c>
      <c r="F475" s="16">
        <v>42369</v>
      </c>
      <c r="G475" s="13">
        <v>1334446.3999999999</v>
      </c>
      <c r="H475" s="16">
        <v>42369</v>
      </c>
      <c r="I475" s="13">
        <v>169977.83</v>
      </c>
      <c r="J475" s="13">
        <f t="shared" si="20"/>
        <v>212472.28749999998</v>
      </c>
      <c r="K475" s="6"/>
    </row>
    <row r="476" spans="1:11" ht="24" x14ac:dyDescent="0.25">
      <c r="A476" s="3">
        <v>56</v>
      </c>
      <c r="B476" s="14" t="s">
        <v>31</v>
      </c>
      <c r="C476" s="15" t="str">
        <f>"U 004/15"</f>
        <v>U 004/15</v>
      </c>
      <c r="D476" s="15" t="str">
        <f t="shared" si="19"/>
        <v>INA INDUSTRIJA NAFTE D.D.</v>
      </c>
      <c r="E476" s="16">
        <v>42072</v>
      </c>
      <c r="F476" s="16">
        <v>42369</v>
      </c>
      <c r="G476" s="13">
        <v>292060.79999999999</v>
      </c>
      <c r="H476" s="16">
        <v>42369</v>
      </c>
      <c r="I476" s="13">
        <v>396336.98</v>
      </c>
      <c r="J476" s="13">
        <f t="shared" si="20"/>
        <v>495421.22499999998</v>
      </c>
      <c r="K476" s="6"/>
    </row>
    <row r="477" spans="1:11" ht="24" x14ac:dyDescent="0.25">
      <c r="A477" s="3">
        <v>57</v>
      </c>
      <c r="B477" s="14" t="s">
        <v>42</v>
      </c>
      <c r="C477" s="15" t="str">
        <f>"UG-00503/15"</f>
        <v>UG-00503/15</v>
      </c>
      <c r="D477" s="15" t="str">
        <f t="shared" si="19"/>
        <v>INA INDUSTRIJA NAFTE D.D.</v>
      </c>
      <c r="E477" s="16">
        <v>42065</v>
      </c>
      <c r="F477" s="16">
        <v>42431</v>
      </c>
      <c r="G477" s="13">
        <v>7054536</v>
      </c>
      <c r="H477" s="16">
        <v>42431</v>
      </c>
      <c r="I477" s="13">
        <v>5418258.3700000001</v>
      </c>
      <c r="J477" s="13">
        <f t="shared" si="20"/>
        <v>6772822.9625000004</v>
      </c>
      <c r="K477" s="6"/>
    </row>
    <row r="478" spans="1:11" ht="24" x14ac:dyDescent="0.25">
      <c r="A478" s="3">
        <v>58</v>
      </c>
      <c r="B478" s="14" t="s">
        <v>247</v>
      </c>
      <c r="C478" s="15" t="str">
        <f>"UG-00569/15"</f>
        <v>UG-00569/15</v>
      </c>
      <c r="D478" s="15" t="str">
        <f t="shared" si="19"/>
        <v>INA INDUSTRIJA NAFTE D.D.</v>
      </c>
      <c r="E478" s="16">
        <v>42064</v>
      </c>
      <c r="F478" s="16">
        <v>42369</v>
      </c>
      <c r="G478" s="13">
        <v>0</v>
      </c>
      <c r="H478" s="16">
        <v>42369</v>
      </c>
      <c r="I478" s="13">
        <v>2081</v>
      </c>
      <c r="J478" s="13">
        <f t="shared" si="20"/>
        <v>2601.25</v>
      </c>
      <c r="K478" s="6"/>
    </row>
    <row r="479" spans="1:11" ht="24" x14ac:dyDescent="0.25">
      <c r="A479" s="3">
        <v>59</v>
      </c>
      <c r="B479" s="14" t="s">
        <v>378</v>
      </c>
      <c r="C479" s="15" t="str">
        <f>"UG-00560/15"</f>
        <v>UG-00560/15</v>
      </c>
      <c r="D479" s="15" t="str">
        <f t="shared" si="19"/>
        <v>INA INDUSTRIJA NAFTE D.D.</v>
      </c>
      <c r="E479" s="16">
        <v>42090</v>
      </c>
      <c r="F479" s="16">
        <v>42369</v>
      </c>
      <c r="G479" s="13">
        <v>7462.4</v>
      </c>
      <c r="H479" s="16">
        <v>42369</v>
      </c>
      <c r="I479" s="13">
        <v>1172</v>
      </c>
      <c r="J479" s="13">
        <f t="shared" si="20"/>
        <v>1465</v>
      </c>
      <c r="K479" s="6"/>
    </row>
    <row r="480" spans="1:11" ht="24" x14ac:dyDescent="0.25">
      <c r="A480" s="3">
        <v>60</v>
      </c>
      <c r="B480" s="14" t="s">
        <v>51</v>
      </c>
      <c r="C480" s="15" t="str">
        <f>"UG-00584/15"</f>
        <v>UG-00584/15</v>
      </c>
      <c r="D480" s="15" t="str">
        <f t="shared" si="19"/>
        <v>INA INDUSTRIJA NAFTE D.D.</v>
      </c>
      <c r="E480" s="16">
        <v>42064</v>
      </c>
      <c r="F480" s="16">
        <v>42369</v>
      </c>
      <c r="G480" s="13">
        <v>1214600</v>
      </c>
      <c r="H480" s="16">
        <v>42369</v>
      </c>
      <c r="I480" s="13">
        <v>821146</v>
      </c>
      <c r="J480" s="13">
        <f t="shared" si="20"/>
        <v>1026432.5</v>
      </c>
      <c r="K480" s="6"/>
    </row>
    <row r="481" spans="1:11" ht="24" x14ac:dyDescent="0.25">
      <c r="A481" s="3">
        <v>61</v>
      </c>
      <c r="B481" s="14" t="s">
        <v>249</v>
      </c>
      <c r="C481" s="15" t="str">
        <f>"UG-00592/15"</f>
        <v>UG-00592/15</v>
      </c>
      <c r="D481" s="15" t="str">
        <f t="shared" si="19"/>
        <v>INA INDUSTRIJA NAFTE D.D.</v>
      </c>
      <c r="E481" s="16">
        <v>42081</v>
      </c>
      <c r="F481" s="16">
        <v>42369</v>
      </c>
      <c r="G481" s="13">
        <v>5814</v>
      </c>
      <c r="H481" s="16">
        <v>42369</v>
      </c>
      <c r="I481" s="13">
        <v>5713.49</v>
      </c>
      <c r="J481" s="13">
        <f t="shared" si="20"/>
        <v>7141.8624999999993</v>
      </c>
      <c r="K481" s="6"/>
    </row>
    <row r="482" spans="1:11" ht="24" x14ac:dyDescent="0.25">
      <c r="A482" s="3">
        <v>62</v>
      </c>
      <c r="B482" s="14" t="s">
        <v>191</v>
      </c>
      <c r="C482" s="15" t="str">
        <f>"UG-00603/15"</f>
        <v>UG-00603/15</v>
      </c>
      <c r="D482" s="15" t="str">
        <f t="shared" si="19"/>
        <v>INA INDUSTRIJA NAFTE D.D.</v>
      </c>
      <c r="E482" s="16">
        <v>42064</v>
      </c>
      <c r="F482" s="16">
        <v>42369</v>
      </c>
      <c r="G482" s="13">
        <v>13083.84</v>
      </c>
      <c r="H482" s="16">
        <v>42369</v>
      </c>
      <c r="I482" s="13">
        <v>3823.49</v>
      </c>
      <c r="J482" s="13">
        <f t="shared" si="20"/>
        <v>4779.3624999999993</v>
      </c>
      <c r="K482" s="6"/>
    </row>
    <row r="483" spans="1:11" ht="24" x14ac:dyDescent="0.25">
      <c r="A483" s="3">
        <v>63</v>
      </c>
      <c r="B483" s="14" t="s">
        <v>246</v>
      </c>
      <c r="C483" s="15" t="str">
        <f>"UG-00546/15"</f>
        <v>UG-00546/15</v>
      </c>
      <c r="D483" s="15" t="str">
        <f t="shared" ref="D483:D546" si="21">CONCATENATE("INA INDUSTRIJA NAFTE D.D.")</f>
        <v>INA INDUSTRIJA NAFTE D.D.</v>
      </c>
      <c r="E483" s="16">
        <v>42058</v>
      </c>
      <c r="F483" s="16">
        <v>42369</v>
      </c>
      <c r="G483" s="13">
        <v>256601.60000000001</v>
      </c>
      <c r="H483" s="16">
        <v>42369</v>
      </c>
      <c r="I483" s="13">
        <v>151554.37</v>
      </c>
      <c r="J483" s="13">
        <f t="shared" si="20"/>
        <v>189442.96249999999</v>
      </c>
      <c r="K483" s="6"/>
    </row>
    <row r="484" spans="1:11" ht="36" x14ac:dyDescent="0.25">
      <c r="A484" s="3">
        <v>64</v>
      </c>
      <c r="B484" s="14" t="s">
        <v>181</v>
      </c>
      <c r="C484" s="15" t="str">
        <f>"UG-00563/15"</f>
        <v>UG-00563/15</v>
      </c>
      <c r="D484" s="15" t="str">
        <f t="shared" si="21"/>
        <v>INA INDUSTRIJA NAFTE D.D.</v>
      </c>
      <c r="E484" s="16">
        <v>42068</v>
      </c>
      <c r="F484" s="16">
        <v>42369</v>
      </c>
      <c r="G484" s="13">
        <v>9460.4</v>
      </c>
      <c r="H484" s="16">
        <v>42369</v>
      </c>
      <c r="I484" s="13">
        <v>23070.9</v>
      </c>
      <c r="J484" s="13">
        <f t="shared" ref="J484:J547" si="22">I484*1.25</f>
        <v>28838.625</v>
      </c>
      <c r="K484" s="6"/>
    </row>
    <row r="485" spans="1:11" ht="24" x14ac:dyDescent="0.25">
      <c r="A485" s="3">
        <v>65</v>
      </c>
      <c r="B485" s="14" t="s">
        <v>252</v>
      </c>
      <c r="C485" s="15" t="str">
        <f>"UG-00586/15"</f>
        <v>UG-00586/15</v>
      </c>
      <c r="D485" s="15" t="str">
        <f t="shared" si="21"/>
        <v>INA INDUSTRIJA NAFTE D.D.</v>
      </c>
      <c r="E485" s="16">
        <v>42079</v>
      </c>
      <c r="F485" s="16">
        <v>42369</v>
      </c>
      <c r="G485" s="13">
        <v>133327.20000000001</v>
      </c>
      <c r="H485" s="16">
        <v>42369</v>
      </c>
      <c r="I485" s="13">
        <v>99360</v>
      </c>
      <c r="J485" s="13">
        <f t="shared" si="22"/>
        <v>124200</v>
      </c>
      <c r="K485" s="6"/>
    </row>
    <row r="486" spans="1:11" ht="24" x14ac:dyDescent="0.25">
      <c r="A486" s="3">
        <v>66</v>
      </c>
      <c r="B486" s="14" t="s">
        <v>213</v>
      </c>
      <c r="C486" s="15" t="str">
        <f>"UG-00589/15"</f>
        <v>UG-00589/15</v>
      </c>
      <c r="D486" s="15" t="str">
        <f t="shared" si="21"/>
        <v>INA INDUSTRIJA NAFTE D.D.</v>
      </c>
      <c r="E486" s="16">
        <v>42082</v>
      </c>
      <c r="F486" s="16">
        <v>42369</v>
      </c>
      <c r="G486" s="13">
        <v>481125.76</v>
      </c>
      <c r="H486" s="16">
        <v>42369</v>
      </c>
      <c r="I486" s="13">
        <v>368541.28</v>
      </c>
      <c r="J486" s="13">
        <f t="shared" si="22"/>
        <v>460676.60000000003</v>
      </c>
      <c r="K486" s="6"/>
    </row>
    <row r="487" spans="1:11" ht="24" x14ac:dyDescent="0.25">
      <c r="A487" s="3">
        <v>67</v>
      </c>
      <c r="B487" s="14" t="s">
        <v>248</v>
      </c>
      <c r="C487" s="15" t="str">
        <f>"UG-00526"</f>
        <v>UG-00526</v>
      </c>
      <c r="D487" s="15" t="str">
        <f t="shared" si="21"/>
        <v>INA INDUSTRIJA NAFTE D.D.</v>
      </c>
      <c r="E487" s="16">
        <v>42053</v>
      </c>
      <c r="F487" s="16">
        <v>42369</v>
      </c>
      <c r="G487" s="13">
        <v>16752</v>
      </c>
      <c r="H487" s="16">
        <v>42369</v>
      </c>
      <c r="I487" s="13">
        <v>629.15</v>
      </c>
      <c r="J487" s="13">
        <f t="shared" si="22"/>
        <v>786.4375</v>
      </c>
      <c r="K487" s="6"/>
    </row>
    <row r="488" spans="1:11" ht="24" x14ac:dyDescent="0.25">
      <c r="A488" s="3">
        <v>68</v>
      </c>
      <c r="B488" s="14" t="s">
        <v>251</v>
      </c>
      <c r="C488" s="15" t="str">
        <f>"UG-00571/15"</f>
        <v>UG-00571/15</v>
      </c>
      <c r="D488" s="15" t="str">
        <f t="shared" si="21"/>
        <v>INA INDUSTRIJA NAFTE D.D.</v>
      </c>
      <c r="E488" s="16">
        <v>42064</v>
      </c>
      <c r="F488" s="16">
        <v>42369</v>
      </c>
      <c r="G488" s="13">
        <v>36344</v>
      </c>
      <c r="H488" s="16">
        <v>42369</v>
      </c>
      <c r="I488" s="13">
        <v>27810.01</v>
      </c>
      <c r="J488" s="13">
        <f t="shared" si="22"/>
        <v>34762.512499999997</v>
      </c>
      <c r="K488" s="6"/>
    </row>
    <row r="489" spans="1:11" ht="24" x14ac:dyDescent="0.25">
      <c r="A489" s="3">
        <v>69</v>
      </c>
      <c r="B489" s="14" t="s">
        <v>250</v>
      </c>
      <c r="C489" s="15" t="str">
        <f>"UG-50000234-00163/15"</f>
        <v>UG-50000234-00163/15</v>
      </c>
      <c r="D489" s="15" t="str">
        <f t="shared" si="21"/>
        <v>INA INDUSTRIJA NAFTE D.D.</v>
      </c>
      <c r="E489" s="16">
        <v>42075</v>
      </c>
      <c r="F489" s="16">
        <v>42369</v>
      </c>
      <c r="G489" s="13">
        <v>18268.099999999999</v>
      </c>
      <c r="H489" s="16">
        <v>42369</v>
      </c>
      <c r="I489" s="13">
        <v>14831.81</v>
      </c>
      <c r="J489" s="13">
        <f t="shared" si="22"/>
        <v>18539.762500000001</v>
      </c>
      <c r="K489" s="6"/>
    </row>
    <row r="490" spans="1:11" ht="24" x14ac:dyDescent="0.25">
      <c r="A490" s="3">
        <v>70</v>
      </c>
      <c r="B490" s="14" t="s">
        <v>33</v>
      </c>
      <c r="C490" s="15" t="str">
        <f>"UG-00450/15"</f>
        <v>UG-00450/15</v>
      </c>
      <c r="D490" s="15" t="str">
        <f t="shared" si="21"/>
        <v>INA INDUSTRIJA NAFTE D.D.</v>
      </c>
      <c r="E490" s="16">
        <v>42052</v>
      </c>
      <c r="F490" s="16">
        <v>42417</v>
      </c>
      <c r="G490" s="13">
        <v>1176391.2</v>
      </c>
      <c r="H490" s="16">
        <v>42417</v>
      </c>
      <c r="I490" s="13">
        <v>865550.05</v>
      </c>
      <c r="J490" s="13">
        <f t="shared" si="22"/>
        <v>1081937.5625</v>
      </c>
      <c r="K490" s="6"/>
    </row>
    <row r="491" spans="1:11" ht="24" x14ac:dyDescent="0.25">
      <c r="A491" s="3">
        <v>71</v>
      </c>
      <c r="B491" s="14" t="s">
        <v>29</v>
      </c>
      <c r="C491" s="15" t="str">
        <f>"UG-00459/15"</f>
        <v>UG-00459/15</v>
      </c>
      <c r="D491" s="15" t="str">
        <f t="shared" si="21"/>
        <v>INA INDUSTRIJA NAFTE D.D.</v>
      </c>
      <c r="E491" s="16">
        <v>42048</v>
      </c>
      <c r="F491" s="16">
        <v>42413</v>
      </c>
      <c r="G491" s="13">
        <v>104623.67999999999</v>
      </c>
      <c r="H491" s="16">
        <v>42413</v>
      </c>
      <c r="I491" s="13">
        <v>89441.56</v>
      </c>
      <c r="J491" s="13">
        <f t="shared" si="22"/>
        <v>111801.95</v>
      </c>
      <c r="K491" s="6"/>
    </row>
    <row r="492" spans="1:11" ht="24" x14ac:dyDescent="0.25">
      <c r="A492" s="3">
        <v>72</v>
      </c>
      <c r="B492" s="14" t="s">
        <v>253</v>
      </c>
      <c r="C492" s="15" t="str">
        <f>"UG-00534-15"</f>
        <v>UG-00534-15</v>
      </c>
      <c r="D492" s="15" t="str">
        <f t="shared" si="21"/>
        <v>INA INDUSTRIJA NAFTE D.D.</v>
      </c>
      <c r="E492" s="16">
        <v>42060</v>
      </c>
      <c r="F492" s="16">
        <v>42369</v>
      </c>
      <c r="G492" s="13">
        <v>0</v>
      </c>
      <c r="H492" s="16">
        <v>42369</v>
      </c>
      <c r="I492" s="13">
        <v>0</v>
      </c>
      <c r="J492" s="13">
        <f t="shared" si="22"/>
        <v>0</v>
      </c>
      <c r="K492" s="6"/>
    </row>
    <row r="493" spans="1:11" ht="24" x14ac:dyDescent="0.25">
      <c r="A493" s="3">
        <v>73</v>
      </c>
      <c r="B493" s="14" t="s">
        <v>254</v>
      </c>
      <c r="C493" s="15" t="str">
        <f>"UG-00466/15"</f>
        <v>UG-00466/15</v>
      </c>
      <c r="D493" s="15" t="str">
        <f t="shared" si="21"/>
        <v>INA INDUSTRIJA NAFTE D.D.</v>
      </c>
      <c r="E493" s="16">
        <v>42039</v>
      </c>
      <c r="F493" s="16">
        <v>42369</v>
      </c>
      <c r="G493" s="13">
        <v>16690</v>
      </c>
      <c r="H493" s="16">
        <v>42369</v>
      </c>
      <c r="I493" s="13">
        <v>5414.65</v>
      </c>
      <c r="J493" s="13">
        <f t="shared" si="22"/>
        <v>6768.3125</v>
      </c>
      <c r="K493" s="6"/>
    </row>
    <row r="494" spans="1:11" ht="24" x14ac:dyDescent="0.25">
      <c r="A494" s="3">
        <v>74</v>
      </c>
      <c r="B494" s="14" t="s">
        <v>60</v>
      </c>
      <c r="C494" s="15" t="str">
        <f>"UG-50000234-00490/15"</f>
        <v>UG-50000234-00490/15</v>
      </c>
      <c r="D494" s="15" t="str">
        <f t="shared" si="21"/>
        <v>INA INDUSTRIJA NAFTE D.D.</v>
      </c>
      <c r="E494" s="16">
        <v>42044</v>
      </c>
      <c r="F494" s="16">
        <v>42723</v>
      </c>
      <c r="G494" s="13">
        <v>108330.8</v>
      </c>
      <c r="H494" s="16">
        <v>42723</v>
      </c>
      <c r="I494" s="13">
        <v>30000</v>
      </c>
      <c r="J494" s="13">
        <f t="shared" si="22"/>
        <v>37500</v>
      </c>
      <c r="K494" s="6"/>
    </row>
    <row r="495" spans="1:11" ht="24" x14ac:dyDescent="0.25">
      <c r="A495" s="3">
        <v>75</v>
      </c>
      <c r="B495" s="14" t="s">
        <v>44</v>
      </c>
      <c r="C495" s="15" t="str">
        <f>"4/2014-6/1"</f>
        <v>4/2014-6/1</v>
      </c>
      <c r="D495" s="15" t="str">
        <f t="shared" si="21"/>
        <v>INA INDUSTRIJA NAFTE D.D.</v>
      </c>
      <c r="E495" s="16">
        <v>42040</v>
      </c>
      <c r="F495" s="16">
        <v>42405</v>
      </c>
      <c r="G495" s="13">
        <v>857308.32</v>
      </c>
      <c r="H495" s="16">
        <v>42405</v>
      </c>
      <c r="I495" s="13">
        <v>795829.1</v>
      </c>
      <c r="J495" s="13">
        <f t="shared" si="22"/>
        <v>994786.375</v>
      </c>
      <c r="K495" s="6"/>
    </row>
    <row r="496" spans="1:11" ht="36" x14ac:dyDescent="0.25">
      <c r="A496" s="3">
        <v>76</v>
      </c>
      <c r="B496" s="14" t="s">
        <v>92</v>
      </c>
      <c r="C496" s="15" t="str">
        <f>"04/2015."</f>
        <v>04/2015.</v>
      </c>
      <c r="D496" s="15" t="str">
        <f t="shared" si="21"/>
        <v>INA INDUSTRIJA NAFTE D.D.</v>
      </c>
      <c r="E496" s="16">
        <v>42039</v>
      </c>
      <c r="F496" s="16">
        <v>42404</v>
      </c>
      <c r="G496" s="13">
        <v>217399.54</v>
      </c>
      <c r="H496" s="16">
        <v>42404</v>
      </c>
      <c r="I496" s="13">
        <v>194158.33</v>
      </c>
      <c r="J496" s="13">
        <f t="shared" si="22"/>
        <v>242697.91249999998</v>
      </c>
      <c r="K496" s="6"/>
    </row>
    <row r="497" spans="1:11" ht="24" x14ac:dyDescent="0.25">
      <c r="A497" s="3">
        <v>77</v>
      </c>
      <c r="B497" s="14" t="s">
        <v>257</v>
      </c>
      <c r="C497" s="15" t="str">
        <f>"UG-50000234-00514/15"</f>
        <v>UG-50000234-00514/15</v>
      </c>
      <c r="D497" s="15" t="str">
        <f t="shared" si="21"/>
        <v>INA INDUSTRIJA NAFTE D.D.</v>
      </c>
      <c r="E497" s="16">
        <v>42051</v>
      </c>
      <c r="F497" s="16">
        <v>42369</v>
      </c>
      <c r="G497" s="13">
        <v>12720.96</v>
      </c>
      <c r="H497" s="16">
        <v>42369</v>
      </c>
      <c r="I497" s="13">
        <v>3412.21</v>
      </c>
      <c r="J497" s="13">
        <f t="shared" si="22"/>
        <v>4265.2624999999998</v>
      </c>
      <c r="K497" s="6"/>
    </row>
    <row r="498" spans="1:11" ht="24" x14ac:dyDescent="0.25">
      <c r="A498" s="3">
        <v>78</v>
      </c>
      <c r="B498" s="14" t="s">
        <v>258</v>
      </c>
      <c r="C498" s="15" t="str">
        <f>"UG-50000234-00354/15"</f>
        <v>UG-50000234-00354/15</v>
      </c>
      <c r="D498" s="15" t="str">
        <f t="shared" si="21"/>
        <v>INA INDUSTRIJA NAFTE D.D.</v>
      </c>
      <c r="E498" s="16">
        <v>42030</v>
      </c>
      <c r="F498" s="16">
        <v>42369</v>
      </c>
      <c r="G498" s="13">
        <v>46759.199999999997</v>
      </c>
      <c r="H498" s="16">
        <v>42369</v>
      </c>
      <c r="I498" s="13">
        <v>53062.400000000001</v>
      </c>
      <c r="J498" s="13">
        <f t="shared" si="22"/>
        <v>66328</v>
      </c>
      <c r="K498" s="6"/>
    </row>
    <row r="499" spans="1:11" ht="24" x14ac:dyDescent="0.25">
      <c r="A499" s="3">
        <v>79</v>
      </c>
      <c r="B499" s="14" t="s">
        <v>259</v>
      </c>
      <c r="C499" s="15" t="str">
        <f>"UG-50000234-00507/15"</f>
        <v>UG-50000234-00507/15</v>
      </c>
      <c r="D499" s="15" t="str">
        <f t="shared" si="21"/>
        <v>INA INDUSTRIJA NAFTE D.D.</v>
      </c>
      <c r="E499" s="16">
        <v>42051</v>
      </c>
      <c r="F499" s="16">
        <v>42369</v>
      </c>
      <c r="G499" s="13">
        <v>5831.28</v>
      </c>
      <c r="H499" s="16">
        <v>42369</v>
      </c>
      <c r="I499" s="13">
        <v>2869.35</v>
      </c>
      <c r="J499" s="13">
        <f t="shared" si="22"/>
        <v>3586.6875</v>
      </c>
      <c r="K499" s="6"/>
    </row>
    <row r="500" spans="1:11" ht="24" x14ac:dyDescent="0.25">
      <c r="A500" s="3">
        <v>80</v>
      </c>
      <c r="B500" s="14" t="s">
        <v>256</v>
      </c>
      <c r="C500" s="15" t="str">
        <f>"UG-50000234-00377/15"</f>
        <v>UG-50000234-00377/15</v>
      </c>
      <c r="D500" s="15" t="str">
        <f t="shared" si="21"/>
        <v>INA INDUSTRIJA NAFTE D.D.</v>
      </c>
      <c r="E500" s="16">
        <v>42031</v>
      </c>
      <c r="F500" s="16">
        <v>42369</v>
      </c>
      <c r="G500" s="13">
        <v>1509.4</v>
      </c>
      <c r="H500" s="16">
        <v>42369</v>
      </c>
      <c r="I500" s="13">
        <v>0</v>
      </c>
      <c r="J500" s="13">
        <f t="shared" si="22"/>
        <v>0</v>
      </c>
      <c r="K500" s="6"/>
    </row>
    <row r="501" spans="1:11" ht="24" x14ac:dyDescent="0.25">
      <c r="A501" s="3">
        <v>81</v>
      </c>
      <c r="B501" s="14" t="s">
        <v>193</v>
      </c>
      <c r="C501" s="15" t="str">
        <f>"UG-50000234-00365/15"</f>
        <v>UG-50000234-00365/15</v>
      </c>
      <c r="D501" s="15" t="str">
        <f t="shared" si="21"/>
        <v>INA INDUSTRIJA NAFTE D.D.</v>
      </c>
      <c r="E501" s="16">
        <v>42025</v>
      </c>
      <c r="F501" s="16">
        <v>42720</v>
      </c>
      <c r="G501" s="13">
        <v>32168</v>
      </c>
      <c r="H501" s="16">
        <v>42720</v>
      </c>
      <c r="I501" s="13">
        <v>6430.5</v>
      </c>
      <c r="J501" s="13">
        <f t="shared" si="22"/>
        <v>8038.125</v>
      </c>
      <c r="K501" s="6"/>
    </row>
    <row r="502" spans="1:11" ht="24" x14ac:dyDescent="0.25">
      <c r="A502" s="3">
        <v>82</v>
      </c>
      <c r="B502" s="14" t="s">
        <v>199</v>
      </c>
      <c r="C502" s="15" t="str">
        <f>"UG-50000234-00419/15"</f>
        <v>UG-50000234-00419/15</v>
      </c>
      <c r="D502" s="15" t="str">
        <f t="shared" si="21"/>
        <v>INA INDUSTRIJA NAFTE D.D.</v>
      </c>
      <c r="E502" s="16">
        <v>42056</v>
      </c>
      <c r="F502" s="16">
        <v>42369</v>
      </c>
      <c r="G502" s="13">
        <v>17984</v>
      </c>
      <c r="H502" s="16">
        <v>42369</v>
      </c>
      <c r="I502" s="13">
        <v>20807</v>
      </c>
      <c r="J502" s="13">
        <f t="shared" si="22"/>
        <v>26008.75</v>
      </c>
      <c r="K502" s="6"/>
    </row>
    <row r="503" spans="1:11" ht="24" x14ac:dyDescent="0.25">
      <c r="A503" s="3">
        <v>83</v>
      </c>
      <c r="B503" s="14" t="s">
        <v>182</v>
      </c>
      <c r="C503" s="15" t="str">
        <f>"UG-50000234-00361/15"</f>
        <v>UG-50000234-00361/15</v>
      </c>
      <c r="D503" s="15" t="str">
        <f t="shared" si="21"/>
        <v>INA INDUSTRIJA NAFTE D.D.</v>
      </c>
      <c r="E503" s="16">
        <v>42046</v>
      </c>
      <c r="F503" s="16">
        <v>42369</v>
      </c>
      <c r="G503" s="13">
        <v>77739.199999999997</v>
      </c>
      <c r="H503" s="16">
        <v>42369</v>
      </c>
      <c r="I503" s="13">
        <v>61111.17</v>
      </c>
      <c r="J503" s="13">
        <f t="shared" si="22"/>
        <v>76388.962499999994</v>
      </c>
      <c r="K503" s="6"/>
    </row>
    <row r="504" spans="1:11" ht="24" x14ac:dyDescent="0.25">
      <c r="A504" s="3">
        <v>84</v>
      </c>
      <c r="B504" s="14" t="s">
        <v>278</v>
      </c>
      <c r="C504" s="15" t="str">
        <f>"UG-00510/15"</f>
        <v>UG-00510/15</v>
      </c>
      <c r="D504" s="15" t="str">
        <f t="shared" si="21"/>
        <v>INA INDUSTRIJA NAFTE D.D.</v>
      </c>
      <c r="E504" s="16">
        <v>42048</v>
      </c>
      <c r="F504" s="16">
        <v>42369</v>
      </c>
      <c r="G504" s="13">
        <v>7067.2</v>
      </c>
      <c r="H504" s="16">
        <v>42369</v>
      </c>
      <c r="I504" s="13">
        <v>15693.91</v>
      </c>
      <c r="J504" s="13">
        <f t="shared" si="22"/>
        <v>19617.387500000001</v>
      </c>
      <c r="K504" s="6"/>
    </row>
    <row r="505" spans="1:11" ht="24" x14ac:dyDescent="0.25">
      <c r="A505" s="3">
        <v>85</v>
      </c>
      <c r="B505" s="14" t="s">
        <v>276</v>
      </c>
      <c r="C505" s="15" t="str">
        <f>"UG-00457/15"</f>
        <v>UG-00457/15</v>
      </c>
      <c r="D505" s="15" t="str">
        <f t="shared" si="21"/>
        <v>INA INDUSTRIJA NAFTE D.D.</v>
      </c>
      <c r="E505" s="16">
        <v>42034</v>
      </c>
      <c r="F505" s="16">
        <v>42369</v>
      </c>
      <c r="G505" s="13">
        <v>2512.48</v>
      </c>
      <c r="H505" s="16">
        <v>42369</v>
      </c>
      <c r="I505" s="13">
        <v>138145</v>
      </c>
      <c r="J505" s="13">
        <f t="shared" si="22"/>
        <v>172681.25</v>
      </c>
      <c r="K505" s="6"/>
    </row>
    <row r="506" spans="1:11" ht="24" x14ac:dyDescent="0.25">
      <c r="A506" s="3">
        <v>86</v>
      </c>
      <c r="B506" s="14" t="s">
        <v>379</v>
      </c>
      <c r="C506" s="15" t="str">
        <f>"41-SU-457/14"</f>
        <v>41-SU-457/14</v>
      </c>
      <c r="D506" s="15" t="str">
        <f t="shared" si="21"/>
        <v>INA INDUSTRIJA NAFTE D.D.</v>
      </c>
      <c r="E506" s="16">
        <v>42030</v>
      </c>
      <c r="F506" s="16">
        <v>42369</v>
      </c>
      <c r="G506" s="13">
        <v>6433.6</v>
      </c>
      <c r="H506" s="16">
        <v>42369</v>
      </c>
      <c r="I506" s="13">
        <v>6294.14</v>
      </c>
      <c r="J506" s="13">
        <f t="shared" si="22"/>
        <v>7867.6750000000002</v>
      </c>
      <c r="K506" s="6"/>
    </row>
    <row r="507" spans="1:11" ht="24" x14ac:dyDescent="0.25">
      <c r="A507" s="3">
        <v>87</v>
      </c>
      <c r="B507" s="14" t="s">
        <v>187</v>
      </c>
      <c r="C507" s="15" t="str">
        <f>"UG-50000234-00352/15"</f>
        <v>UG-50000234-00352/15</v>
      </c>
      <c r="D507" s="15" t="str">
        <f t="shared" si="21"/>
        <v>INA INDUSTRIJA NAFTE D.D.</v>
      </c>
      <c r="E507" s="16">
        <v>42027</v>
      </c>
      <c r="F507" s="16">
        <v>42369</v>
      </c>
      <c r="G507" s="13">
        <v>5146.88</v>
      </c>
      <c r="H507" s="16">
        <v>42369</v>
      </c>
      <c r="I507" s="13">
        <v>6152.67</v>
      </c>
      <c r="J507" s="13">
        <f t="shared" si="22"/>
        <v>7690.8374999999996</v>
      </c>
      <c r="K507" s="6"/>
    </row>
    <row r="508" spans="1:11" ht="24" x14ac:dyDescent="0.25">
      <c r="A508" s="3">
        <v>88</v>
      </c>
      <c r="B508" s="14" t="s">
        <v>275</v>
      </c>
      <c r="C508" s="15" t="str">
        <f>"UG-00401/15"</f>
        <v>UG-00401/15</v>
      </c>
      <c r="D508" s="15" t="str">
        <f t="shared" si="21"/>
        <v>INA INDUSTRIJA NAFTE D.D.</v>
      </c>
      <c r="E508" s="16">
        <v>42040</v>
      </c>
      <c r="F508" s="16">
        <v>42369</v>
      </c>
      <c r="G508" s="13">
        <v>33028.800000000003</v>
      </c>
      <c r="H508" s="16">
        <v>42369</v>
      </c>
      <c r="I508" s="13">
        <v>10875.11</v>
      </c>
      <c r="J508" s="13">
        <f t="shared" si="22"/>
        <v>13593.887500000001</v>
      </c>
      <c r="K508" s="6"/>
    </row>
    <row r="509" spans="1:11" ht="24" x14ac:dyDescent="0.25">
      <c r="A509" s="3">
        <v>89</v>
      </c>
      <c r="B509" s="14" t="s">
        <v>274</v>
      </c>
      <c r="C509" s="15" t="str">
        <f>"UG-00549/15"</f>
        <v>UG-00549/15</v>
      </c>
      <c r="D509" s="15" t="str">
        <f t="shared" si="21"/>
        <v>INA INDUSTRIJA NAFTE D.D.</v>
      </c>
      <c r="E509" s="16">
        <v>42059</v>
      </c>
      <c r="F509" s="16">
        <v>42722</v>
      </c>
      <c r="G509" s="13">
        <v>41459.199999999997</v>
      </c>
      <c r="H509" s="16">
        <v>42722</v>
      </c>
      <c r="I509" s="13">
        <v>43555.03</v>
      </c>
      <c r="J509" s="13">
        <f t="shared" si="22"/>
        <v>54443.787499999999</v>
      </c>
      <c r="K509" s="6"/>
    </row>
    <row r="510" spans="1:11" ht="24" x14ac:dyDescent="0.25">
      <c r="A510" s="3">
        <v>90</v>
      </c>
      <c r="B510" s="14" t="s">
        <v>273</v>
      </c>
      <c r="C510" s="15" t="str">
        <f>"UG-50000234-00415/15"</f>
        <v>UG-50000234-00415/15</v>
      </c>
      <c r="D510" s="15" t="str">
        <f t="shared" si="21"/>
        <v>INA INDUSTRIJA NAFTE D.D.</v>
      </c>
      <c r="E510" s="16">
        <v>42033</v>
      </c>
      <c r="F510" s="16">
        <v>42369</v>
      </c>
      <c r="G510" s="13">
        <v>25465.599999999999</v>
      </c>
      <c r="H510" s="16">
        <v>42369</v>
      </c>
      <c r="I510" s="13">
        <v>16217.94</v>
      </c>
      <c r="J510" s="13">
        <f t="shared" si="22"/>
        <v>20272.424999999999</v>
      </c>
      <c r="K510" s="6"/>
    </row>
    <row r="511" spans="1:11" ht="24" x14ac:dyDescent="0.25">
      <c r="A511" s="3">
        <v>91</v>
      </c>
      <c r="B511" s="14" t="s">
        <v>272</v>
      </c>
      <c r="C511" s="15" t="str">
        <f>"UG-50000234-00371/15"</f>
        <v>UG-50000234-00371/15</v>
      </c>
      <c r="D511" s="15" t="str">
        <f t="shared" si="21"/>
        <v>INA INDUSTRIJA NAFTE D.D.</v>
      </c>
      <c r="E511" s="16">
        <v>42030</v>
      </c>
      <c r="F511" s="16">
        <v>42369</v>
      </c>
      <c r="G511" s="13">
        <v>4675.92</v>
      </c>
      <c r="H511" s="16">
        <v>42369</v>
      </c>
      <c r="I511" s="13">
        <v>6178.44</v>
      </c>
      <c r="J511" s="13">
        <f t="shared" si="22"/>
        <v>7723.0499999999993</v>
      </c>
      <c r="K511" s="6"/>
    </row>
    <row r="512" spans="1:11" ht="24" x14ac:dyDescent="0.25">
      <c r="A512" s="3">
        <v>92</v>
      </c>
      <c r="B512" s="14" t="s">
        <v>271</v>
      </c>
      <c r="C512" s="15" t="str">
        <f>"UG-50000234-00512/15"</f>
        <v>UG-50000234-00512/15</v>
      </c>
      <c r="D512" s="15" t="str">
        <f t="shared" si="21"/>
        <v>INA INDUSTRIJA NAFTE D.D.</v>
      </c>
      <c r="E512" s="16">
        <v>42048</v>
      </c>
      <c r="F512" s="16">
        <v>42369</v>
      </c>
      <c r="G512" s="13">
        <v>17668</v>
      </c>
      <c r="H512" s="16">
        <v>42369</v>
      </c>
      <c r="I512" s="13">
        <v>15229.38</v>
      </c>
      <c r="J512" s="13">
        <f t="shared" si="22"/>
        <v>19036.724999999999</v>
      </c>
      <c r="K512" s="6"/>
    </row>
    <row r="513" spans="1:11" ht="24" x14ac:dyDescent="0.25">
      <c r="A513" s="3">
        <v>93</v>
      </c>
      <c r="B513" s="14" t="s">
        <v>270</v>
      </c>
      <c r="C513" s="15" t="str">
        <f>"UG-00437/15"</f>
        <v>UG-00437/15</v>
      </c>
      <c r="D513" s="15" t="str">
        <f t="shared" si="21"/>
        <v>INA INDUSTRIJA NAFTE D.D.</v>
      </c>
      <c r="E513" s="16">
        <v>42039</v>
      </c>
      <c r="F513" s="16">
        <v>42722</v>
      </c>
      <c r="G513" s="13">
        <v>1335.2</v>
      </c>
      <c r="H513" s="16">
        <v>42722</v>
      </c>
      <c r="I513" s="13">
        <v>348.64</v>
      </c>
      <c r="J513" s="13">
        <f t="shared" si="22"/>
        <v>435.79999999999995</v>
      </c>
      <c r="K513" s="6"/>
    </row>
    <row r="514" spans="1:11" ht="24" x14ac:dyDescent="0.25">
      <c r="A514" s="3">
        <v>94</v>
      </c>
      <c r="B514" s="14" t="s">
        <v>269</v>
      </c>
      <c r="C514" s="15" t="str">
        <f>"UG-00543/15"</f>
        <v>UG-00543/15</v>
      </c>
      <c r="D514" s="15" t="str">
        <f t="shared" si="21"/>
        <v>INA INDUSTRIJA NAFTE D.D.</v>
      </c>
      <c r="E514" s="16">
        <v>42054</v>
      </c>
      <c r="F514" s="16">
        <v>42369</v>
      </c>
      <c r="G514" s="13">
        <v>9063.6</v>
      </c>
      <c r="H514" s="16">
        <v>42369</v>
      </c>
      <c r="I514" s="13">
        <v>6552.42</v>
      </c>
      <c r="J514" s="13">
        <f t="shared" si="22"/>
        <v>8190.5249999999996</v>
      </c>
      <c r="K514" s="6"/>
    </row>
    <row r="515" spans="1:11" ht="24" x14ac:dyDescent="0.25">
      <c r="A515" s="3">
        <v>95</v>
      </c>
      <c r="B515" s="14" t="s">
        <v>268</v>
      </c>
      <c r="C515" s="15" t="str">
        <f>"UG-00435/15"</f>
        <v>UG-00435/15</v>
      </c>
      <c r="D515" s="15" t="str">
        <f t="shared" si="21"/>
        <v>INA INDUSTRIJA NAFTE D.D.</v>
      </c>
      <c r="E515" s="16">
        <v>42037</v>
      </c>
      <c r="F515" s="16">
        <v>42369</v>
      </c>
      <c r="G515" s="13">
        <v>28741.74</v>
      </c>
      <c r="H515" s="16">
        <v>42369</v>
      </c>
      <c r="I515" s="13">
        <v>14397.1</v>
      </c>
      <c r="J515" s="13">
        <f t="shared" si="22"/>
        <v>17996.375</v>
      </c>
      <c r="K515" s="6"/>
    </row>
    <row r="516" spans="1:11" ht="24" x14ac:dyDescent="0.25">
      <c r="A516" s="3">
        <v>96</v>
      </c>
      <c r="B516" s="14" t="s">
        <v>65</v>
      </c>
      <c r="C516" s="15" t="str">
        <f>"UG-00531/15"</f>
        <v>UG-00531/15</v>
      </c>
      <c r="D516" s="15" t="str">
        <f t="shared" si="21"/>
        <v>INA INDUSTRIJA NAFTE D.D.</v>
      </c>
      <c r="E516" s="16">
        <v>42036</v>
      </c>
      <c r="F516" s="16">
        <v>42369</v>
      </c>
      <c r="G516" s="13">
        <v>0</v>
      </c>
      <c r="H516" s="16">
        <v>42369</v>
      </c>
      <c r="I516" s="13">
        <v>16926.939999999999</v>
      </c>
      <c r="J516" s="13">
        <f t="shared" si="22"/>
        <v>21158.674999999999</v>
      </c>
      <c r="K516" s="6"/>
    </row>
    <row r="517" spans="1:11" ht="24" x14ac:dyDescent="0.25">
      <c r="A517" s="3">
        <v>97</v>
      </c>
      <c r="B517" s="14" t="s">
        <v>267</v>
      </c>
      <c r="C517" s="15" t="str">
        <f>"UG-50000234-00339/15"</f>
        <v>UG-50000234-00339/15</v>
      </c>
      <c r="D517" s="15" t="str">
        <f t="shared" si="21"/>
        <v>INA INDUSTRIJA NAFTE D.D.</v>
      </c>
      <c r="E517" s="16">
        <v>42045</v>
      </c>
      <c r="F517" s="16">
        <v>42369</v>
      </c>
      <c r="G517" s="13">
        <v>6204</v>
      </c>
      <c r="H517" s="16">
        <v>42369</v>
      </c>
      <c r="I517" s="13">
        <v>7582.04</v>
      </c>
      <c r="J517" s="13">
        <f t="shared" si="22"/>
        <v>9477.5499999999993</v>
      </c>
      <c r="K517" s="6"/>
    </row>
    <row r="518" spans="1:11" ht="24" x14ac:dyDescent="0.25">
      <c r="A518" s="3">
        <v>98</v>
      </c>
      <c r="B518" s="14" t="s">
        <v>184</v>
      </c>
      <c r="C518" s="15" t="str">
        <f>"UG-50000234-00508/15"</f>
        <v>UG-50000234-00508/15</v>
      </c>
      <c r="D518" s="15" t="str">
        <f t="shared" si="21"/>
        <v>INA INDUSTRIJA NAFTE D.D.</v>
      </c>
      <c r="E518" s="16">
        <v>42048</v>
      </c>
      <c r="F518" s="16">
        <v>42369</v>
      </c>
      <c r="G518" s="13">
        <v>50929.760000000002</v>
      </c>
      <c r="H518" s="16">
        <v>42369</v>
      </c>
      <c r="I518" s="13">
        <v>40337.089999999997</v>
      </c>
      <c r="J518" s="13">
        <f t="shared" si="22"/>
        <v>50421.362499999996</v>
      </c>
      <c r="K518" s="6"/>
    </row>
    <row r="519" spans="1:11" ht="36" x14ac:dyDescent="0.25">
      <c r="A519" s="3">
        <v>99</v>
      </c>
      <c r="B519" s="14" t="s">
        <v>266</v>
      </c>
      <c r="C519" s="15" t="str">
        <f>"UG-00484/15"</f>
        <v>UG-00484/15</v>
      </c>
      <c r="D519" s="15" t="str">
        <f t="shared" si="21"/>
        <v>INA INDUSTRIJA NAFTE D.D.</v>
      </c>
      <c r="E519" s="16">
        <v>42053</v>
      </c>
      <c r="F519" s="16">
        <v>42722</v>
      </c>
      <c r="G519" s="13">
        <v>5360.64</v>
      </c>
      <c r="H519" s="16">
        <v>42722</v>
      </c>
      <c r="I519" s="13">
        <v>4389.99</v>
      </c>
      <c r="J519" s="13">
        <f t="shared" si="22"/>
        <v>5487.4874999999993</v>
      </c>
      <c r="K519" s="6"/>
    </row>
    <row r="520" spans="1:11" ht="24" x14ac:dyDescent="0.25">
      <c r="A520" s="3">
        <v>100</v>
      </c>
      <c r="B520" s="14" t="s">
        <v>380</v>
      </c>
      <c r="C520" s="15" t="str">
        <f>"UG-02-15"</f>
        <v>UG-02-15</v>
      </c>
      <c r="D520" s="15" t="str">
        <f t="shared" si="21"/>
        <v>INA INDUSTRIJA NAFTE D.D.</v>
      </c>
      <c r="E520" s="16">
        <v>42030</v>
      </c>
      <c r="F520" s="16">
        <v>42369</v>
      </c>
      <c r="G520" s="13">
        <v>60000</v>
      </c>
      <c r="H520" s="16">
        <v>42369</v>
      </c>
      <c r="I520" s="13">
        <v>55280</v>
      </c>
      <c r="J520" s="13">
        <f t="shared" si="22"/>
        <v>69100</v>
      </c>
      <c r="K520" s="6"/>
    </row>
    <row r="521" spans="1:11" ht="24" x14ac:dyDescent="0.25">
      <c r="A521" s="3">
        <v>101</v>
      </c>
      <c r="B521" s="14" t="s">
        <v>381</v>
      </c>
      <c r="C521" s="15" t="str">
        <f>"UG-50000234-00372/15"</f>
        <v>UG-50000234-00372/15</v>
      </c>
      <c r="D521" s="15" t="str">
        <f t="shared" si="21"/>
        <v>INA INDUSTRIJA NAFTE D.D.</v>
      </c>
      <c r="E521" s="16">
        <v>42027</v>
      </c>
      <c r="F521" s="16">
        <v>42369</v>
      </c>
      <c r="G521" s="13">
        <v>18528</v>
      </c>
      <c r="H521" s="16">
        <v>42369</v>
      </c>
      <c r="I521" s="13">
        <v>4869.5200000000004</v>
      </c>
      <c r="J521" s="13">
        <f t="shared" si="22"/>
        <v>6086.9000000000005</v>
      </c>
      <c r="K521" s="6"/>
    </row>
    <row r="522" spans="1:11" ht="24" x14ac:dyDescent="0.25">
      <c r="A522" s="3">
        <v>102</v>
      </c>
      <c r="B522" s="14" t="s">
        <v>260</v>
      </c>
      <c r="C522" s="15" t="str">
        <f>"UG-00556/15"</f>
        <v>UG-00556/15</v>
      </c>
      <c r="D522" s="15" t="str">
        <f t="shared" si="21"/>
        <v>INA INDUSTRIJA NAFTE D.D.</v>
      </c>
      <c r="E522" s="16">
        <v>42036</v>
      </c>
      <c r="F522" s="16">
        <v>42369</v>
      </c>
      <c r="G522" s="13">
        <v>40000</v>
      </c>
      <c r="H522" s="16">
        <v>42369</v>
      </c>
      <c r="I522" s="13">
        <v>36058.480000000003</v>
      </c>
      <c r="J522" s="13">
        <f t="shared" si="22"/>
        <v>45073.100000000006</v>
      </c>
      <c r="K522" s="6"/>
    </row>
    <row r="523" spans="1:11" ht="24" x14ac:dyDescent="0.25">
      <c r="A523" s="3">
        <v>103</v>
      </c>
      <c r="B523" s="14" t="s">
        <v>199</v>
      </c>
      <c r="C523" s="15" t="str">
        <f>"UG-00399/15"</f>
        <v>UG-00399/15</v>
      </c>
      <c r="D523" s="15" t="str">
        <f t="shared" si="21"/>
        <v>INA INDUSTRIJA NAFTE D.D.</v>
      </c>
      <c r="E523" s="16">
        <v>42031</v>
      </c>
      <c r="F523" s="16">
        <v>42369</v>
      </c>
      <c r="G523" s="13">
        <v>9100</v>
      </c>
      <c r="H523" s="16">
        <v>42369</v>
      </c>
      <c r="I523" s="13">
        <v>313</v>
      </c>
      <c r="J523" s="13">
        <f t="shared" si="22"/>
        <v>391.25</v>
      </c>
      <c r="K523" s="6"/>
    </row>
    <row r="524" spans="1:11" ht="24" x14ac:dyDescent="0.25">
      <c r="A524" s="3">
        <v>104</v>
      </c>
      <c r="B524" s="14" t="s">
        <v>25</v>
      </c>
      <c r="C524" s="15" t="str">
        <f>"4/2014-133"</f>
        <v>4/2014-133</v>
      </c>
      <c r="D524" s="15" t="str">
        <f t="shared" si="21"/>
        <v>INA INDUSTRIJA NAFTE D.D.</v>
      </c>
      <c r="E524" s="16">
        <v>42059</v>
      </c>
      <c r="F524" s="16">
        <v>42369</v>
      </c>
      <c r="G524" s="13">
        <v>238868</v>
      </c>
      <c r="H524" s="16">
        <v>42369</v>
      </c>
      <c r="I524" s="13">
        <v>129270.28</v>
      </c>
      <c r="J524" s="13">
        <f t="shared" si="22"/>
        <v>161587.85</v>
      </c>
      <c r="K524" s="6"/>
    </row>
    <row r="525" spans="1:11" ht="24" x14ac:dyDescent="0.25">
      <c r="A525" s="3">
        <v>105</v>
      </c>
      <c r="B525" s="14" t="s">
        <v>261</v>
      </c>
      <c r="C525" s="15" t="str">
        <f>"UG-00493/15"</f>
        <v>UG-00493/15</v>
      </c>
      <c r="D525" s="15" t="str">
        <f t="shared" si="21"/>
        <v>INA INDUSTRIJA NAFTE D.D.</v>
      </c>
      <c r="E525" s="16">
        <v>42045</v>
      </c>
      <c r="F525" s="16">
        <v>42722</v>
      </c>
      <c r="G525" s="13">
        <v>11460.64</v>
      </c>
      <c r="H525" s="16">
        <v>42722</v>
      </c>
      <c r="I525" s="13">
        <v>0</v>
      </c>
      <c r="J525" s="13">
        <f t="shared" si="22"/>
        <v>0</v>
      </c>
      <c r="K525" s="6"/>
    </row>
    <row r="526" spans="1:11" ht="24" x14ac:dyDescent="0.25">
      <c r="A526" s="3">
        <v>106</v>
      </c>
      <c r="B526" s="14" t="s">
        <v>262</v>
      </c>
      <c r="C526" s="15" t="str">
        <f>"UG-00522/15"</f>
        <v>UG-00522/15</v>
      </c>
      <c r="D526" s="15" t="str">
        <f t="shared" si="21"/>
        <v>INA INDUSTRIJA NAFTE D.D.</v>
      </c>
      <c r="E526" s="16">
        <v>42034</v>
      </c>
      <c r="F526" s="16">
        <v>42369</v>
      </c>
      <c r="G526" s="13">
        <v>3924.44</v>
      </c>
      <c r="H526" s="16">
        <v>42369</v>
      </c>
      <c r="I526" s="13">
        <v>4633.1400000000003</v>
      </c>
      <c r="J526" s="13">
        <f t="shared" si="22"/>
        <v>5791.4250000000002</v>
      </c>
      <c r="K526" s="6"/>
    </row>
    <row r="527" spans="1:11" ht="24" x14ac:dyDescent="0.25">
      <c r="A527" s="3">
        <v>107</v>
      </c>
      <c r="B527" s="14" t="s">
        <v>263</v>
      </c>
      <c r="C527" s="15" t="str">
        <f>"UG-50000234-00268/15"</f>
        <v>UG-50000234-00268/15</v>
      </c>
      <c r="D527" s="15" t="str">
        <f t="shared" si="21"/>
        <v>INA INDUSTRIJA NAFTE D.D.</v>
      </c>
      <c r="E527" s="16">
        <v>42034</v>
      </c>
      <c r="F527" s="16">
        <v>42400</v>
      </c>
      <c r="G527" s="13">
        <v>652.48</v>
      </c>
      <c r="H527" s="16">
        <v>42400</v>
      </c>
      <c r="I527" s="13">
        <v>2738.86</v>
      </c>
      <c r="J527" s="13">
        <f t="shared" si="22"/>
        <v>3423.5750000000003</v>
      </c>
      <c r="K527" s="6"/>
    </row>
    <row r="528" spans="1:11" ht="24" x14ac:dyDescent="0.25">
      <c r="A528" s="3">
        <v>108</v>
      </c>
      <c r="B528" s="14" t="s">
        <v>96</v>
      </c>
      <c r="C528" s="15" t="str">
        <f>"UG-00453/15"</f>
        <v>UG-00453/15</v>
      </c>
      <c r="D528" s="15" t="str">
        <f t="shared" si="21"/>
        <v>INA INDUSTRIJA NAFTE D.D.</v>
      </c>
      <c r="E528" s="16">
        <v>42044</v>
      </c>
      <c r="F528" s="16">
        <v>42369</v>
      </c>
      <c r="G528" s="13">
        <v>109186</v>
      </c>
      <c r="H528" s="16">
        <v>42369</v>
      </c>
      <c r="I528" s="13">
        <v>54011.24</v>
      </c>
      <c r="J528" s="13">
        <f t="shared" si="22"/>
        <v>67514.05</v>
      </c>
      <c r="K528" s="6"/>
    </row>
    <row r="529" spans="1:11" ht="24" x14ac:dyDescent="0.25">
      <c r="A529" s="3">
        <v>109</v>
      </c>
      <c r="B529" s="14" t="s">
        <v>264</v>
      </c>
      <c r="C529" s="15" t="str">
        <f>"UG-00524/15"</f>
        <v>UG-00524/15</v>
      </c>
      <c r="D529" s="15" t="str">
        <f t="shared" si="21"/>
        <v>INA INDUSTRIJA NAFTE D.D.</v>
      </c>
      <c r="E529" s="16">
        <v>42051</v>
      </c>
      <c r="F529" s="16">
        <v>42369</v>
      </c>
      <c r="G529" s="13">
        <v>21175.68</v>
      </c>
      <c r="H529" s="16">
        <v>42369</v>
      </c>
      <c r="I529" s="13">
        <v>0</v>
      </c>
      <c r="J529" s="13">
        <f t="shared" si="22"/>
        <v>0</v>
      </c>
      <c r="K529" s="6"/>
    </row>
    <row r="530" spans="1:11" ht="24" x14ac:dyDescent="0.25">
      <c r="A530" s="3">
        <v>110</v>
      </c>
      <c r="B530" s="14" t="s">
        <v>217</v>
      </c>
      <c r="C530" s="15" t="str">
        <f>"UG-00433/15"</f>
        <v>UG-00433/15</v>
      </c>
      <c r="D530" s="15" t="str">
        <f t="shared" si="21"/>
        <v>INA INDUSTRIJA NAFTE D.D.</v>
      </c>
      <c r="E530" s="16">
        <v>42036</v>
      </c>
      <c r="F530" s="16">
        <v>42722</v>
      </c>
      <c r="G530" s="13">
        <v>0</v>
      </c>
      <c r="H530" s="16">
        <v>42722</v>
      </c>
      <c r="I530" s="13">
        <v>3663.15</v>
      </c>
      <c r="J530" s="13">
        <f t="shared" si="22"/>
        <v>4578.9375</v>
      </c>
      <c r="K530" s="6"/>
    </row>
    <row r="531" spans="1:11" ht="24" x14ac:dyDescent="0.25">
      <c r="A531" s="3">
        <v>111</v>
      </c>
      <c r="B531" s="14" t="s">
        <v>265</v>
      </c>
      <c r="C531" s="15" t="str">
        <f>"UG-00486/15"</f>
        <v>UG-00486/15</v>
      </c>
      <c r="D531" s="15" t="str">
        <f t="shared" si="21"/>
        <v>INA INDUSTRIJA NAFTE D.D.</v>
      </c>
      <c r="E531" s="16">
        <v>42034</v>
      </c>
      <c r="F531" s="16">
        <v>42369</v>
      </c>
      <c r="G531" s="13">
        <v>142476</v>
      </c>
      <c r="H531" s="16">
        <v>42369</v>
      </c>
      <c r="I531" s="13">
        <v>113615</v>
      </c>
      <c r="J531" s="13">
        <f t="shared" si="22"/>
        <v>142018.75</v>
      </c>
      <c r="K531" s="6"/>
    </row>
    <row r="532" spans="1:11" ht="24" x14ac:dyDescent="0.25">
      <c r="A532" s="3">
        <v>112</v>
      </c>
      <c r="B532" s="14" t="s">
        <v>368</v>
      </c>
      <c r="C532" s="15" t="str">
        <f>"UG-02/15"</f>
        <v>UG-02/15</v>
      </c>
      <c r="D532" s="15" t="str">
        <f t="shared" si="21"/>
        <v>INA INDUSTRIJA NAFTE D.D.</v>
      </c>
      <c r="E532" s="16">
        <v>42027</v>
      </c>
      <c r="F532" s="16">
        <v>42720</v>
      </c>
      <c r="G532" s="13">
        <v>98000</v>
      </c>
      <c r="H532" s="16">
        <v>42720</v>
      </c>
      <c r="I532" s="13">
        <v>76157.19</v>
      </c>
      <c r="J532" s="13">
        <f t="shared" si="22"/>
        <v>95196.487500000003</v>
      </c>
      <c r="K532" s="6"/>
    </row>
    <row r="533" spans="1:11" ht="36" x14ac:dyDescent="0.25">
      <c r="A533" s="3">
        <v>113</v>
      </c>
      <c r="B533" s="14" t="s">
        <v>34</v>
      </c>
      <c r="C533" s="15" t="str">
        <f>"04/UZOP/2015"</f>
        <v>04/UZOP/2015</v>
      </c>
      <c r="D533" s="15" t="str">
        <f t="shared" si="21"/>
        <v>INA INDUSTRIJA NAFTE D.D.</v>
      </c>
      <c r="E533" s="16">
        <v>42027</v>
      </c>
      <c r="F533" s="16">
        <v>42369</v>
      </c>
      <c r="G533" s="13">
        <v>160704.95999999999</v>
      </c>
      <c r="H533" s="16">
        <v>42369</v>
      </c>
      <c r="I533" s="13">
        <v>126433.62</v>
      </c>
      <c r="J533" s="13">
        <f t="shared" si="22"/>
        <v>158042.02499999999</v>
      </c>
      <c r="K533" s="6"/>
    </row>
    <row r="534" spans="1:11" ht="24" x14ac:dyDescent="0.25">
      <c r="A534" s="3">
        <v>114</v>
      </c>
      <c r="B534" s="14" t="s">
        <v>220</v>
      </c>
      <c r="C534" s="15" t="str">
        <f>"UG-50000234-00228/15"</f>
        <v>UG-50000234-00228/15</v>
      </c>
      <c r="D534" s="15" t="str">
        <f t="shared" si="21"/>
        <v>INA INDUSTRIJA NAFTE D.D.</v>
      </c>
      <c r="E534" s="16">
        <v>42027</v>
      </c>
      <c r="F534" s="16">
        <v>42723</v>
      </c>
      <c r="G534" s="13">
        <v>18305.599999999999</v>
      </c>
      <c r="H534" s="16">
        <v>42723</v>
      </c>
      <c r="I534" s="13">
        <v>0</v>
      </c>
      <c r="J534" s="13">
        <f t="shared" si="22"/>
        <v>0</v>
      </c>
      <c r="K534" s="6"/>
    </row>
    <row r="535" spans="1:11" ht="24" x14ac:dyDescent="0.25">
      <c r="A535" s="3">
        <v>115</v>
      </c>
      <c r="B535" s="14" t="s">
        <v>277</v>
      </c>
      <c r="C535" s="15" t="str">
        <f>"UG-00397/15"</f>
        <v>UG-00397/15</v>
      </c>
      <c r="D535" s="15" t="str">
        <f t="shared" si="21"/>
        <v>INA INDUSTRIJA NAFTE D.D.</v>
      </c>
      <c r="E535" s="16">
        <v>42026</v>
      </c>
      <c r="F535" s="16">
        <v>42735</v>
      </c>
      <c r="G535" s="13">
        <v>32168</v>
      </c>
      <c r="H535" s="16">
        <v>42735</v>
      </c>
      <c r="I535" s="13">
        <v>0</v>
      </c>
      <c r="J535" s="13">
        <f t="shared" si="22"/>
        <v>0</v>
      </c>
      <c r="K535" s="6"/>
    </row>
    <row r="536" spans="1:11" ht="24" x14ac:dyDescent="0.25">
      <c r="A536" s="3">
        <v>116</v>
      </c>
      <c r="B536" s="14" t="s">
        <v>279</v>
      </c>
      <c r="C536" s="15" t="str">
        <f>"UG-50000234-00127/15"</f>
        <v>UG-50000234-00127/15</v>
      </c>
      <c r="D536" s="15" t="str">
        <f t="shared" si="21"/>
        <v>INA INDUSTRIJA NAFTE D.D.</v>
      </c>
      <c r="E536" s="16">
        <v>42024</v>
      </c>
      <c r="F536" s="16">
        <v>42722</v>
      </c>
      <c r="G536" s="13">
        <v>9650.4</v>
      </c>
      <c r="H536" s="16">
        <v>42722</v>
      </c>
      <c r="I536" s="13">
        <v>3565.76</v>
      </c>
      <c r="J536" s="13">
        <f t="shared" si="22"/>
        <v>4457.2000000000007</v>
      </c>
      <c r="K536" s="6"/>
    </row>
    <row r="537" spans="1:11" ht="24" x14ac:dyDescent="0.25">
      <c r="A537" s="3">
        <v>117</v>
      </c>
      <c r="B537" s="14" t="s">
        <v>169</v>
      </c>
      <c r="C537" s="15" t="str">
        <f>"UG-50000234-00125/15"</f>
        <v>UG-50000234-00125/15</v>
      </c>
      <c r="D537" s="15" t="str">
        <f t="shared" si="21"/>
        <v>INA INDUSTRIJA NAFTE D.D.</v>
      </c>
      <c r="E537" s="16">
        <v>42019</v>
      </c>
      <c r="F537" s="16">
        <v>42369</v>
      </c>
      <c r="G537" s="13">
        <v>4211.4799999999996</v>
      </c>
      <c r="H537" s="16">
        <v>42369</v>
      </c>
      <c r="I537" s="13">
        <v>5610.27</v>
      </c>
      <c r="J537" s="13">
        <f t="shared" si="22"/>
        <v>7012.8375000000005</v>
      </c>
      <c r="K537" s="6"/>
    </row>
    <row r="538" spans="1:11" ht="24" x14ac:dyDescent="0.25">
      <c r="A538" s="3">
        <v>118</v>
      </c>
      <c r="B538" s="14" t="s">
        <v>282</v>
      </c>
      <c r="C538" s="15" t="str">
        <f>"41-SU-976/14-2"</f>
        <v>41-SU-976/14-2</v>
      </c>
      <c r="D538" s="15" t="str">
        <f t="shared" si="21"/>
        <v>INA INDUSTRIJA NAFTE D.D.</v>
      </c>
      <c r="E538" s="16">
        <v>42020</v>
      </c>
      <c r="F538" s="16">
        <v>42719</v>
      </c>
      <c r="G538" s="13">
        <v>2591.6799999999998</v>
      </c>
      <c r="H538" s="16">
        <v>42719</v>
      </c>
      <c r="I538" s="13">
        <v>3698.43</v>
      </c>
      <c r="J538" s="13">
        <f t="shared" si="22"/>
        <v>4623.0374999999995</v>
      </c>
      <c r="K538" s="6"/>
    </row>
    <row r="539" spans="1:11" ht="24" x14ac:dyDescent="0.25">
      <c r="A539" s="3">
        <v>119</v>
      </c>
      <c r="B539" s="14" t="s">
        <v>281</v>
      </c>
      <c r="C539" s="15" t="str">
        <f>"UG-00389/15"</f>
        <v>UG-00389/15</v>
      </c>
      <c r="D539" s="15" t="str">
        <f t="shared" si="21"/>
        <v>INA INDUSTRIJA NAFTE D.D.</v>
      </c>
      <c r="E539" s="16">
        <v>42020</v>
      </c>
      <c r="F539" s="16">
        <v>42720</v>
      </c>
      <c r="G539" s="13">
        <v>64792</v>
      </c>
      <c r="H539" s="16">
        <v>42720</v>
      </c>
      <c r="I539" s="13">
        <v>14828.82</v>
      </c>
      <c r="J539" s="13">
        <f t="shared" si="22"/>
        <v>18536.025000000001</v>
      </c>
      <c r="K539" s="6"/>
    </row>
    <row r="540" spans="1:11" ht="24" x14ac:dyDescent="0.25">
      <c r="A540" s="3">
        <v>120</v>
      </c>
      <c r="B540" s="14" t="s">
        <v>280</v>
      </c>
      <c r="C540" s="15" t="str">
        <f>"UG-00393/15"</f>
        <v>UG-00393/15</v>
      </c>
      <c r="D540" s="15" t="str">
        <f t="shared" si="21"/>
        <v>INA INDUSTRIJA NAFTE D.D.</v>
      </c>
      <c r="E540" s="16">
        <v>42026</v>
      </c>
      <c r="F540" s="16">
        <v>42720</v>
      </c>
      <c r="G540" s="13">
        <v>19300.8</v>
      </c>
      <c r="H540" s="16">
        <v>42720</v>
      </c>
      <c r="I540" s="13">
        <v>13415.12</v>
      </c>
      <c r="J540" s="13">
        <f t="shared" si="22"/>
        <v>16768.900000000001</v>
      </c>
      <c r="K540" s="6"/>
    </row>
    <row r="541" spans="1:11" ht="24" x14ac:dyDescent="0.25">
      <c r="A541" s="3">
        <v>121</v>
      </c>
      <c r="B541" s="14" t="s">
        <v>283</v>
      </c>
      <c r="C541" s="15" t="str">
        <f>"UG-50000234-00129/15"</f>
        <v>UG-50000234-00129/15</v>
      </c>
      <c r="D541" s="15" t="str">
        <f t="shared" si="21"/>
        <v>INA INDUSTRIJA NAFTE D.D.</v>
      </c>
      <c r="E541" s="16">
        <v>42017</v>
      </c>
      <c r="F541" s="16">
        <v>42369</v>
      </c>
      <c r="G541" s="13">
        <v>20289.36</v>
      </c>
      <c r="H541" s="16">
        <v>42369</v>
      </c>
      <c r="I541" s="13">
        <v>11691.23</v>
      </c>
      <c r="J541" s="13">
        <f t="shared" si="22"/>
        <v>14614.037499999999</v>
      </c>
      <c r="K541" s="6"/>
    </row>
    <row r="542" spans="1:11" ht="24" x14ac:dyDescent="0.25">
      <c r="A542" s="3">
        <v>122</v>
      </c>
      <c r="B542" s="14" t="s">
        <v>69</v>
      </c>
      <c r="C542" s="15" t="str">
        <f>"50000234-00093/15"</f>
        <v>50000234-00093/15</v>
      </c>
      <c r="D542" s="15" t="str">
        <f t="shared" si="21"/>
        <v>INA INDUSTRIJA NAFTE D.D.</v>
      </c>
      <c r="E542" s="16">
        <v>42016</v>
      </c>
      <c r="F542" s="16">
        <v>42369</v>
      </c>
      <c r="G542" s="13">
        <v>18894.240000000002</v>
      </c>
      <c r="H542" s="16">
        <v>42369</v>
      </c>
      <c r="I542" s="13">
        <v>21683.15</v>
      </c>
      <c r="J542" s="13">
        <f t="shared" si="22"/>
        <v>27103.9375</v>
      </c>
      <c r="K542" s="6"/>
    </row>
    <row r="543" spans="1:11" ht="24" x14ac:dyDescent="0.25">
      <c r="A543" s="3">
        <v>123</v>
      </c>
      <c r="B543" s="14" t="s">
        <v>255</v>
      </c>
      <c r="C543" s="15" t="str">
        <f>"UG-50000234-00051/15"</f>
        <v>UG-50000234-00051/15</v>
      </c>
      <c r="D543" s="15" t="str">
        <f t="shared" si="21"/>
        <v>INA INDUSTRIJA NAFTE D.D.</v>
      </c>
      <c r="E543" s="16">
        <v>42013</v>
      </c>
      <c r="F543" s="16">
        <v>42722</v>
      </c>
      <c r="G543" s="13">
        <v>3300.22</v>
      </c>
      <c r="H543" s="16">
        <v>42722</v>
      </c>
      <c r="I543" s="13">
        <v>0</v>
      </c>
      <c r="J543" s="13">
        <f t="shared" si="22"/>
        <v>0</v>
      </c>
      <c r="K543" s="6"/>
    </row>
    <row r="544" spans="1:11" ht="24" x14ac:dyDescent="0.25">
      <c r="A544" s="3">
        <v>124</v>
      </c>
      <c r="B544" s="14" t="s">
        <v>68</v>
      </c>
      <c r="C544" s="15" t="str">
        <f>"UG-50000234-00350/15"</f>
        <v>UG-50000234-00350/15</v>
      </c>
      <c r="D544" s="15" t="str">
        <f t="shared" si="21"/>
        <v>INA INDUSTRIJA NAFTE D.D.</v>
      </c>
      <c r="E544" s="16">
        <v>42013</v>
      </c>
      <c r="F544" s="16"/>
      <c r="G544" s="13">
        <v>23940</v>
      </c>
      <c r="H544" s="16"/>
      <c r="I544" s="13">
        <v>9523.94</v>
      </c>
      <c r="J544" s="13">
        <f t="shared" si="22"/>
        <v>11904.925000000001</v>
      </c>
      <c r="K544" s="6"/>
    </row>
    <row r="545" spans="1:11" ht="24" x14ac:dyDescent="0.25">
      <c r="A545" s="3">
        <v>125</v>
      </c>
      <c r="B545" s="14" t="s">
        <v>73</v>
      </c>
      <c r="C545" s="15" t="str">
        <f>"00234/15"</f>
        <v>00234/15</v>
      </c>
      <c r="D545" s="15" t="str">
        <f t="shared" si="21"/>
        <v>INA INDUSTRIJA NAFTE D.D.</v>
      </c>
      <c r="E545" s="16">
        <v>42006</v>
      </c>
      <c r="F545" s="16"/>
      <c r="G545" s="13">
        <v>115360</v>
      </c>
      <c r="H545" s="16"/>
      <c r="I545" s="13">
        <v>56630.62</v>
      </c>
      <c r="J545" s="13">
        <f t="shared" si="22"/>
        <v>70788.275000000009</v>
      </c>
      <c r="K545" s="6"/>
    </row>
    <row r="546" spans="1:11" ht="24" x14ac:dyDescent="0.25">
      <c r="A546" s="3">
        <v>126</v>
      </c>
      <c r="B546" s="14" t="s">
        <v>53</v>
      </c>
      <c r="C546" s="15" t="str">
        <f>"UG-50000234-00040/15"</f>
        <v>UG-50000234-00040/15</v>
      </c>
      <c r="D546" s="15" t="str">
        <f t="shared" si="21"/>
        <v>INA INDUSTRIJA NAFTE D.D.</v>
      </c>
      <c r="E546" s="16">
        <v>42024</v>
      </c>
      <c r="F546" s="16">
        <v>42369</v>
      </c>
      <c r="G546" s="13">
        <v>118720</v>
      </c>
      <c r="H546" s="16">
        <v>42369</v>
      </c>
      <c r="I546" s="13">
        <v>115718.18</v>
      </c>
      <c r="J546" s="13">
        <f t="shared" si="22"/>
        <v>144647.72499999998</v>
      </c>
      <c r="K546" s="6"/>
    </row>
    <row r="547" spans="1:11" ht="24" x14ac:dyDescent="0.25">
      <c r="A547" s="3">
        <v>127</v>
      </c>
      <c r="B547" s="14" t="s">
        <v>90</v>
      </c>
      <c r="C547" s="15" t="str">
        <f>"U-2-MV/15"</f>
        <v>U-2-MV/15</v>
      </c>
      <c r="D547" s="15" t="str">
        <f t="shared" ref="D547:D610" si="23">CONCATENATE("INA INDUSTRIJA NAFTE D.D.")</f>
        <v>INA INDUSTRIJA NAFTE D.D.</v>
      </c>
      <c r="E547" s="16">
        <v>42020</v>
      </c>
      <c r="F547" s="16">
        <v>42369</v>
      </c>
      <c r="G547" s="13">
        <v>505976</v>
      </c>
      <c r="H547" s="16">
        <v>42369</v>
      </c>
      <c r="I547" s="13">
        <v>221848.39</v>
      </c>
      <c r="J547" s="13">
        <f t="shared" si="22"/>
        <v>277310.48750000005</v>
      </c>
      <c r="K547" s="6"/>
    </row>
    <row r="548" spans="1:11" ht="24" x14ac:dyDescent="0.25">
      <c r="A548" s="3">
        <v>128</v>
      </c>
      <c r="B548" s="14" t="s">
        <v>91</v>
      </c>
      <c r="C548" s="15" t="str">
        <f>"U02/15"</f>
        <v>U02/15</v>
      </c>
      <c r="D548" s="15" t="str">
        <f t="shared" si="23"/>
        <v>INA INDUSTRIJA NAFTE D.D.</v>
      </c>
      <c r="E548" s="16">
        <v>42034</v>
      </c>
      <c r="F548" s="16">
        <v>42369</v>
      </c>
      <c r="G548" s="13">
        <v>49275.199999999997</v>
      </c>
      <c r="H548" s="16">
        <v>42369</v>
      </c>
      <c r="I548" s="13">
        <v>24831.7</v>
      </c>
      <c r="J548" s="13">
        <f t="shared" ref="J548:J611" si="24">I548*1.25</f>
        <v>31039.625</v>
      </c>
      <c r="K548" s="6"/>
    </row>
    <row r="549" spans="1:11" ht="24" x14ac:dyDescent="0.25">
      <c r="A549" s="3">
        <v>129</v>
      </c>
      <c r="B549" s="14" t="s">
        <v>55</v>
      </c>
      <c r="C549" s="15" t="str">
        <f>"1-13-15-6-1"</f>
        <v>1-13-15-6-1</v>
      </c>
      <c r="D549" s="15" t="str">
        <f t="shared" si="23"/>
        <v>INA INDUSTRIJA NAFTE D.D.</v>
      </c>
      <c r="E549" s="16">
        <v>42032</v>
      </c>
      <c r="F549" s="16">
        <v>42723</v>
      </c>
      <c r="G549" s="13">
        <v>2180142.4</v>
      </c>
      <c r="H549" s="16">
        <v>42723</v>
      </c>
      <c r="I549" s="13">
        <v>761181.62</v>
      </c>
      <c r="J549" s="13">
        <f t="shared" si="24"/>
        <v>951477.02500000002</v>
      </c>
      <c r="K549" s="6"/>
    </row>
    <row r="550" spans="1:11" ht="24" x14ac:dyDescent="0.25">
      <c r="A550" s="3">
        <v>130</v>
      </c>
      <c r="B550" s="14" t="s">
        <v>43</v>
      </c>
      <c r="C550" s="15" t="str">
        <f>"UG-50000234-00214/15"</f>
        <v>UG-50000234-00214/15</v>
      </c>
      <c r="D550" s="15" t="str">
        <f t="shared" si="23"/>
        <v>INA INDUSTRIJA NAFTE D.D.</v>
      </c>
      <c r="E550" s="16">
        <v>42020</v>
      </c>
      <c r="F550" s="16">
        <v>42369</v>
      </c>
      <c r="G550" s="13">
        <v>343252</v>
      </c>
      <c r="H550" s="16">
        <v>42369</v>
      </c>
      <c r="I550" s="13">
        <v>319803.39</v>
      </c>
      <c r="J550" s="13">
        <f t="shared" si="24"/>
        <v>399754.23750000005</v>
      </c>
      <c r="K550" s="6"/>
    </row>
    <row r="551" spans="1:11" ht="36" x14ac:dyDescent="0.25">
      <c r="A551" s="3">
        <v>131</v>
      </c>
      <c r="B551" s="14" t="s">
        <v>59</v>
      </c>
      <c r="C551" s="15" t="str">
        <f>"02-A-A-0005/15-90"</f>
        <v>02-A-A-0005/15-90</v>
      </c>
      <c r="D551" s="15" t="str">
        <f t="shared" si="23"/>
        <v>INA INDUSTRIJA NAFTE D.D.</v>
      </c>
      <c r="E551" s="16">
        <v>42017</v>
      </c>
      <c r="F551" s="16">
        <v>42723</v>
      </c>
      <c r="G551" s="13">
        <v>254654.4</v>
      </c>
      <c r="H551" s="16">
        <v>42723</v>
      </c>
      <c r="I551" s="13">
        <v>60505.02</v>
      </c>
      <c r="J551" s="13">
        <f t="shared" si="24"/>
        <v>75631.274999999994</v>
      </c>
      <c r="K551" s="6"/>
    </row>
    <row r="552" spans="1:11" ht="24" x14ac:dyDescent="0.25">
      <c r="A552" s="3">
        <v>132</v>
      </c>
      <c r="B552" s="14" t="s">
        <v>62</v>
      </c>
      <c r="C552" s="15" t="str">
        <f>"UG-00427/15"</f>
        <v>UG-00427/15</v>
      </c>
      <c r="D552" s="15" t="str">
        <f t="shared" si="23"/>
        <v>INA INDUSTRIJA NAFTE D.D.</v>
      </c>
      <c r="E552" s="16">
        <v>42033</v>
      </c>
      <c r="F552" s="16">
        <v>42369</v>
      </c>
      <c r="G552" s="13">
        <v>4425900</v>
      </c>
      <c r="H552" s="16">
        <v>42369</v>
      </c>
      <c r="I552" s="13">
        <v>1309956.79</v>
      </c>
      <c r="J552" s="13">
        <f t="shared" si="24"/>
        <v>1637445.9875</v>
      </c>
      <c r="K552" s="6"/>
    </row>
    <row r="553" spans="1:11" ht="24" x14ac:dyDescent="0.25">
      <c r="A553" s="3">
        <v>133</v>
      </c>
      <c r="B553" s="14" t="s">
        <v>27</v>
      </c>
      <c r="C553" s="15" t="str">
        <f>"4/2015-07"</f>
        <v>4/2015-07</v>
      </c>
      <c r="D553" s="15" t="str">
        <f t="shared" si="23"/>
        <v>INA INDUSTRIJA NAFTE D.D.</v>
      </c>
      <c r="E553" s="16">
        <v>42027</v>
      </c>
      <c r="F553" s="16">
        <v>42369</v>
      </c>
      <c r="G553" s="13">
        <v>13802080</v>
      </c>
      <c r="H553" s="16">
        <v>42369</v>
      </c>
      <c r="I553" s="13">
        <v>29110065.969999999</v>
      </c>
      <c r="J553" s="13">
        <f t="shared" si="24"/>
        <v>36387582.462499999</v>
      </c>
      <c r="K553" s="6"/>
    </row>
    <row r="554" spans="1:11" ht="24" x14ac:dyDescent="0.25">
      <c r="A554" s="3">
        <v>134</v>
      </c>
      <c r="B554" s="14" t="s">
        <v>26</v>
      </c>
      <c r="C554" s="15" t="str">
        <f>"UG-50000234-00161/15"</f>
        <v>UG-50000234-00161/15</v>
      </c>
      <c r="D554" s="15" t="str">
        <f t="shared" si="23"/>
        <v>INA INDUSTRIJA NAFTE D.D.</v>
      </c>
      <c r="E554" s="16">
        <v>42025</v>
      </c>
      <c r="F554" s="16">
        <v>42369</v>
      </c>
      <c r="G554" s="13">
        <v>62498.400000000001</v>
      </c>
      <c r="H554" s="16">
        <v>42369</v>
      </c>
      <c r="I554" s="13">
        <v>55462.8</v>
      </c>
      <c r="J554" s="13">
        <f t="shared" si="24"/>
        <v>69328.5</v>
      </c>
      <c r="K554" s="6"/>
    </row>
    <row r="555" spans="1:11" ht="24" x14ac:dyDescent="0.25">
      <c r="A555" s="3">
        <v>135</v>
      </c>
      <c r="B555" s="14" t="s">
        <v>39</v>
      </c>
      <c r="C555" s="15" t="str">
        <f>"1/15-1"</f>
        <v>1/15-1</v>
      </c>
      <c r="D555" s="15" t="str">
        <f t="shared" si="23"/>
        <v>INA INDUSTRIJA NAFTE D.D.</v>
      </c>
      <c r="E555" s="16">
        <v>42011</v>
      </c>
      <c r="F555" s="16">
        <v>42369</v>
      </c>
      <c r="G555" s="13">
        <v>67619.7</v>
      </c>
      <c r="H555" s="16">
        <v>42369</v>
      </c>
      <c r="I555" s="13">
        <v>50258.62</v>
      </c>
      <c r="J555" s="13">
        <f t="shared" si="24"/>
        <v>62823.275000000001</v>
      </c>
      <c r="K555" s="6"/>
    </row>
    <row r="556" spans="1:11" ht="24" x14ac:dyDescent="0.25">
      <c r="A556" s="3">
        <v>136</v>
      </c>
      <c r="B556" s="14" t="s">
        <v>45</v>
      </c>
      <c r="C556" s="15" t="str">
        <f>"UG-50000234-00018/15"</f>
        <v>UG-50000234-00018/15</v>
      </c>
      <c r="D556" s="15" t="str">
        <f t="shared" si="23"/>
        <v>INA INDUSTRIJA NAFTE D.D.</v>
      </c>
      <c r="E556" s="16">
        <v>42004</v>
      </c>
      <c r="F556" s="16">
        <v>42369</v>
      </c>
      <c r="G556" s="13">
        <v>226295.67999999999</v>
      </c>
      <c r="H556" s="16">
        <v>42369</v>
      </c>
      <c r="I556" s="13">
        <v>207797.16</v>
      </c>
      <c r="J556" s="13">
        <f t="shared" si="24"/>
        <v>259746.45</v>
      </c>
      <c r="K556" s="6"/>
    </row>
    <row r="557" spans="1:11" ht="24" x14ac:dyDescent="0.25">
      <c r="A557" s="3">
        <v>137</v>
      </c>
      <c r="B557" s="14" t="s">
        <v>36</v>
      </c>
      <c r="C557" s="15" t="str">
        <f>"UG-50000234-00274/15"</f>
        <v>UG-50000234-00274/15</v>
      </c>
      <c r="D557" s="15" t="str">
        <f t="shared" si="23"/>
        <v>INA INDUSTRIJA NAFTE D.D.</v>
      </c>
      <c r="E557" s="16">
        <v>42018</v>
      </c>
      <c r="F557" s="16">
        <v>42369</v>
      </c>
      <c r="G557" s="13">
        <v>239730.4</v>
      </c>
      <c r="H557" s="16">
        <v>42369</v>
      </c>
      <c r="I557" s="13">
        <v>144097.13</v>
      </c>
      <c r="J557" s="13">
        <f t="shared" si="24"/>
        <v>180121.41250000001</v>
      </c>
      <c r="K557" s="6"/>
    </row>
    <row r="558" spans="1:11" ht="24" x14ac:dyDescent="0.25">
      <c r="A558" s="3">
        <v>138</v>
      </c>
      <c r="B558" s="14" t="s">
        <v>50</v>
      </c>
      <c r="C558" s="15" t="str">
        <f>"2/2015-2"</f>
        <v>2/2015-2</v>
      </c>
      <c r="D558" s="15" t="str">
        <f t="shared" si="23"/>
        <v>INA INDUSTRIJA NAFTE D.D.</v>
      </c>
      <c r="E558" s="16">
        <v>42006</v>
      </c>
      <c r="F558" s="16">
        <v>42369</v>
      </c>
      <c r="G558" s="13">
        <v>14319</v>
      </c>
      <c r="H558" s="16">
        <v>42369</v>
      </c>
      <c r="I558" s="13">
        <v>5407.93</v>
      </c>
      <c r="J558" s="13">
        <f t="shared" si="24"/>
        <v>6759.9125000000004</v>
      </c>
      <c r="K558" s="6"/>
    </row>
    <row r="559" spans="1:11" ht="24" x14ac:dyDescent="0.25">
      <c r="A559" s="3">
        <v>139</v>
      </c>
      <c r="B559" s="14" t="s">
        <v>47</v>
      </c>
      <c r="C559" s="15" t="str">
        <f>"UG-50000234-00259/15"</f>
        <v>UG-50000234-00259/15</v>
      </c>
      <c r="D559" s="15" t="str">
        <f t="shared" si="23"/>
        <v>INA INDUSTRIJA NAFTE D.D.</v>
      </c>
      <c r="E559" s="16">
        <v>42027</v>
      </c>
      <c r="F559" s="16">
        <v>42369</v>
      </c>
      <c r="G559" s="13">
        <v>12190.48</v>
      </c>
      <c r="H559" s="16">
        <v>42369</v>
      </c>
      <c r="I559" s="13">
        <v>11481.38</v>
      </c>
      <c r="J559" s="13">
        <f t="shared" si="24"/>
        <v>14351.724999999999</v>
      </c>
      <c r="K559" s="6"/>
    </row>
    <row r="560" spans="1:11" ht="24" x14ac:dyDescent="0.25">
      <c r="A560" s="3">
        <v>140</v>
      </c>
      <c r="B560" s="14" t="s">
        <v>35</v>
      </c>
      <c r="C560" s="15" t="str">
        <f>"UG-00421/15-5"</f>
        <v>UG-00421/15-5</v>
      </c>
      <c r="D560" s="15" t="str">
        <f t="shared" si="23"/>
        <v>INA INDUSTRIJA NAFTE D.D.</v>
      </c>
      <c r="E560" s="16">
        <v>42025</v>
      </c>
      <c r="F560" s="16">
        <v>42369</v>
      </c>
      <c r="G560" s="13">
        <v>482353.2</v>
      </c>
      <c r="H560" s="16">
        <v>42369</v>
      </c>
      <c r="I560" s="13">
        <v>433209.89</v>
      </c>
      <c r="J560" s="13">
        <f t="shared" si="24"/>
        <v>541512.36250000005</v>
      </c>
      <c r="K560" s="6"/>
    </row>
    <row r="561" spans="1:11" ht="24" x14ac:dyDescent="0.25">
      <c r="A561" s="3">
        <v>141</v>
      </c>
      <c r="B561" s="14" t="s">
        <v>48</v>
      </c>
      <c r="C561" s="15" t="str">
        <f>"UG-50000234-00173/15"</f>
        <v>UG-50000234-00173/15</v>
      </c>
      <c r="D561" s="15" t="str">
        <f t="shared" si="23"/>
        <v>INA INDUSTRIJA NAFTE D.D.</v>
      </c>
      <c r="E561" s="16">
        <v>42016</v>
      </c>
      <c r="F561" s="16">
        <v>42369</v>
      </c>
      <c r="G561" s="13">
        <v>1861.2</v>
      </c>
      <c r="H561" s="16">
        <v>42369</v>
      </c>
      <c r="I561" s="13">
        <v>0</v>
      </c>
      <c r="J561" s="13">
        <f t="shared" si="24"/>
        <v>0</v>
      </c>
      <c r="K561" s="6"/>
    </row>
    <row r="562" spans="1:11" ht="24" x14ac:dyDescent="0.25">
      <c r="A562" s="3">
        <v>142</v>
      </c>
      <c r="B562" s="14" t="s">
        <v>61</v>
      </c>
      <c r="C562" s="15" t="str">
        <f>"UG-50000234-00265/15"</f>
        <v>UG-50000234-00265/15</v>
      </c>
      <c r="D562" s="15" t="str">
        <f t="shared" si="23"/>
        <v>INA INDUSTRIJA NAFTE D.D.</v>
      </c>
      <c r="E562" s="16">
        <v>42017</v>
      </c>
      <c r="F562" s="16">
        <v>42369</v>
      </c>
      <c r="G562" s="13">
        <v>237302.8</v>
      </c>
      <c r="H562" s="16">
        <v>42369</v>
      </c>
      <c r="I562" s="13">
        <v>73799.149999999994</v>
      </c>
      <c r="J562" s="13">
        <f t="shared" si="24"/>
        <v>92248.9375</v>
      </c>
      <c r="K562" s="6"/>
    </row>
    <row r="563" spans="1:11" ht="24" x14ac:dyDescent="0.25">
      <c r="A563" s="3">
        <v>143</v>
      </c>
      <c r="B563" s="14" t="s">
        <v>83</v>
      </c>
      <c r="C563" s="15" t="str">
        <f>"UG-50000234-00263/15"</f>
        <v>UG-50000234-00263/15</v>
      </c>
      <c r="D563" s="15" t="str">
        <f t="shared" si="23"/>
        <v>INA INDUSTRIJA NAFTE D.D.</v>
      </c>
      <c r="E563" s="16">
        <v>42023</v>
      </c>
      <c r="F563" s="16">
        <v>42369</v>
      </c>
      <c r="G563" s="13">
        <v>34463.519999999997</v>
      </c>
      <c r="H563" s="16">
        <v>42369</v>
      </c>
      <c r="I563" s="13">
        <v>4475.96</v>
      </c>
      <c r="J563" s="13">
        <f t="shared" si="24"/>
        <v>5594.95</v>
      </c>
      <c r="K563" s="6"/>
    </row>
    <row r="564" spans="1:11" ht="24" x14ac:dyDescent="0.25">
      <c r="A564" s="3">
        <v>144</v>
      </c>
      <c r="B564" s="14" t="s">
        <v>284</v>
      </c>
      <c r="C564" s="15" t="str">
        <f>"UG-50000234-00053/15"</f>
        <v>UG-50000234-00053/15</v>
      </c>
      <c r="D564" s="15" t="str">
        <f t="shared" si="23"/>
        <v>INA INDUSTRIJA NAFTE D.D.</v>
      </c>
      <c r="E564" s="16">
        <v>42016</v>
      </c>
      <c r="F564" s="16">
        <v>42369</v>
      </c>
      <c r="G564" s="13">
        <v>21714</v>
      </c>
      <c r="H564" s="16">
        <v>42369</v>
      </c>
      <c r="I564" s="13">
        <v>17774.52</v>
      </c>
      <c r="J564" s="13">
        <f t="shared" si="24"/>
        <v>22218.15</v>
      </c>
      <c r="K564" s="6"/>
    </row>
    <row r="565" spans="1:11" ht="24" x14ac:dyDescent="0.25">
      <c r="A565" s="3">
        <v>145</v>
      </c>
      <c r="B565" s="14" t="s">
        <v>285</v>
      </c>
      <c r="C565" s="15" t="str">
        <f>"UG-50000234-00165/15"</f>
        <v>UG-50000234-00165/15</v>
      </c>
      <c r="D565" s="15" t="str">
        <f t="shared" si="23"/>
        <v>INA INDUSTRIJA NAFTE D.D.</v>
      </c>
      <c r="E565" s="16">
        <v>42018</v>
      </c>
      <c r="F565" s="16">
        <v>42369</v>
      </c>
      <c r="G565" s="13">
        <v>10272.08</v>
      </c>
      <c r="H565" s="16">
        <v>42369</v>
      </c>
      <c r="I565" s="13">
        <v>22101.759999999998</v>
      </c>
      <c r="J565" s="13">
        <f t="shared" si="24"/>
        <v>27627.199999999997</v>
      </c>
      <c r="K565" s="6"/>
    </row>
    <row r="566" spans="1:11" ht="36" x14ac:dyDescent="0.25">
      <c r="A566" s="3">
        <v>146</v>
      </c>
      <c r="B566" s="14" t="s">
        <v>286</v>
      </c>
      <c r="C566" s="15" t="str">
        <f>"UG-50000234-00081/15"</f>
        <v>UG-50000234-00081/15</v>
      </c>
      <c r="D566" s="15" t="str">
        <f t="shared" si="23"/>
        <v>INA INDUSTRIJA NAFTE D.D.</v>
      </c>
      <c r="E566" s="16">
        <v>42026</v>
      </c>
      <c r="F566" s="16">
        <v>42369</v>
      </c>
      <c r="G566" s="13">
        <v>23744</v>
      </c>
      <c r="H566" s="16">
        <v>42369</v>
      </c>
      <c r="I566" s="40">
        <v>0</v>
      </c>
      <c r="J566" s="40">
        <f t="shared" si="24"/>
        <v>0</v>
      </c>
      <c r="K566" s="6"/>
    </row>
    <row r="567" spans="1:11" ht="24" x14ac:dyDescent="0.25">
      <c r="A567" s="3">
        <v>147</v>
      </c>
      <c r="B567" s="14" t="s">
        <v>163</v>
      </c>
      <c r="C567" s="15" t="str">
        <f>"UG-50000234-00250/15"</f>
        <v>UG-50000234-00250/15</v>
      </c>
      <c r="D567" s="15" t="str">
        <f t="shared" si="23"/>
        <v>INA INDUSTRIJA NAFTE D.D.</v>
      </c>
      <c r="E567" s="16">
        <v>42023</v>
      </c>
      <c r="F567" s="16">
        <v>42369</v>
      </c>
      <c r="G567" s="13">
        <v>12084.8</v>
      </c>
      <c r="H567" s="16">
        <v>42369</v>
      </c>
      <c r="I567" s="13">
        <v>10627.61</v>
      </c>
      <c r="J567" s="13">
        <f t="shared" si="24"/>
        <v>13284.512500000001</v>
      </c>
      <c r="K567" s="6"/>
    </row>
    <row r="568" spans="1:11" ht="24" x14ac:dyDescent="0.25">
      <c r="A568" s="3">
        <v>148</v>
      </c>
      <c r="B568" s="14" t="s">
        <v>287</v>
      </c>
      <c r="C568" s="15" t="str">
        <f>"UG-50000234-00382/15"</f>
        <v>UG-50000234-00382/15</v>
      </c>
      <c r="D568" s="15" t="str">
        <f t="shared" si="23"/>
        <v>INA INDUSTRIJA NAFTE D.D.</v>
      </c>
      <c r="E568" s="16">
        <v>42027</v>
      </c>
      <c r="F568" s="16">
        <v>42369</v>
      </c>
      <c r="G568" s="13">
        <v>2573.44</v>
      </c>
      <c r="H568" s="16">
        <v>42369</v>
      </c>
      <c r="I568" s="13">
        <v>0</v>
      </c>
      <c r="J568" s="13">
        <f t="shared" si="24"/>
        <v>0</v>
      </c>
      <c r="K568" s="6"/>
    </row>
    <row r="569" spans="1:11" ht="24" x14ac:dyDescent="0.25">
      <c r="A569" s="3">
        <v>149</v>
      </c>
      <c r="B569" s="14" t="s">
        <v>288</v>
      </c>
      <c r="C569" s="15" t="str">
        <f>"UG-50000234-00218/15"</f>
        <v>UG-50000234-00218/15</v>
      </c>
      <c r="D569" s="15" t="str">
        <f t="shared" si="23"/>
        <v>INA INDUSTRIJA NAFTE D.D.</v>
      </c>
      <c r="E569" s="16">
        <v>42005</v>
      </c>
      <c r="F569" s="16">
        <v>42369</v>
      </c>
      <c r="G569" s="13">
        <v>42568.480000000003</v>
      </c>
      <c r="H569" s="16">
        <v>42369</v>
      </c>
      <c r="I569" s="13">
        <v>32775.97</v>
      </c>
      <c r="J569" s="13">
        <f t="shared" si="24"/>
        <v>40969.962500000001</v>
      </c>
      <c r="K569" s="6"/>
    </row>
    <row r="570" spans="1:11" ht="24" x14ac:dyDescent="0.25">
      <c r="A570" s="3">
        <v>150</v>
      </c>
      <c r="B570" s="14" t="s">
        <v>289</v>
      </c>
      <c r="C570" s="15" t="str">
        <f>"UG-50000234-00208/15"</f>
        <v>UG-50000234-00208/15</v>
      </c>
      <c r="D570" s="15" t="str">
        <f t="shared" si="23"/>
        <v>INA INDUSTRIJA NAFTE D.D.</v>
      </c>
      <c r="E570" s="16">
        <v>42024</v>
      </c>
      <c r="F570" s="16">
        <v>42369</v>
      </c>
      <c r="G570" s="13">
        <v>77665.600000000006</v>
      </c>
      <c r="H570" s="16">
        <v>42369</v>
      </c>
      <c r="I570" s="13">
        <v>0</v>
      </c>
      <c r="J570" s="13">
        <f t="shared" si="24"/>
        <v>0</v>
      </c>
      <c r="K570" s="6"/>
    </row>
    <row r="571" spans="1:11" ht="24" x14ac:dyDescent="0.25">
      <c r="A571" s="3">
        <v>151</v>
      </c>
      <c r="B571" s="14" t="s">
        <v>290</v>
      </c>
      <c r="C571" s="15" t="str">
        <f>"UG-50000234-00333/15"</f>
        <v>UG-50000234-00333/15</v>
      </c>
      <c r="D571" s="15" t="str">
        <f t="shared" si="23"/>
        <v>INA INDUSTRIJA NAFTE D.D.</v>
      </c>
      <c r="E571" s="16">
        <v>42034</v>
      </c>
      <c r="F571" s="16">
        <v>42369</v>
      </c>
      <c r="G571" s="13">
        <v>19574.400000000001</v>
      </c>
      <c r="H571" s="16">
        <v>42369</v>
      </c>
      <c r="I571" s="13">
        <v>8481.7199999999993</v>
      </c>
      <c r="J571" s="13">
        <f t="shared" si="24"/>
        <v>10602.15</v>
      </c>
      <c r="K571" s="6"/>
    </row>
    <row r="572" spans="1:11" ht="24" x14ac:dyDescent="0.25">
      <c r="A572" s="3">
        <v>152</v>
      </c>
      <c r="B572" s="14" t="s">
        <v>382</v>
      </c>
      <c r="C572" s="15" t="str">
        <f>"UG-50000234-00355/15"</f>
        <v>UG-50000234-00355/15</v>
      </c>
      <c r="D572" s="15" t="str">
        <f t="shared" si="23"/>
        <v>INA INDUSTRIJA NAFTE D.D.</v>
      </c>
      <c r="E572" s="16">
        <v>42023</v>
      </c>
      <c r="F572" s="16">
        <v>42369</v>
      </c>
      <c r="G572" s="13">
        <v>40367.599999999999</v>
      </c>
      <c r="H572" s="16">
        <v>42369</v>
      </c>
      <c r="I572" s="13">
        <v>42112.99</v>
      </c>
      <c r="J572" s="13">
        <f t="shared" si="24"/>
        <v>52641.237499999996</v>
      </c>
      <c r="K572" s="6"/>
    </row>
    <row r="573" spans="1:11" ht="24" x14ac:dyDescent="0.25">
      <c r="A573" s="3">
        <v>153</v>
      </c>
      <c r="B573" s="14" t="s">
        <v>207</v>
      </c>
      <c r="C573" s="15" t="str">
        <f>"UG-50000234-00171/15"</f>
        <v>UG-50000234-00171/15</v>
      </c>
      <c r="D573" s="15" t="str">
        <f t="shared" si="23"/>
        <v>INA INDUSTRIJA NAFTE D.D.</v>
      </c>
      <c r="E573" s="16">
        <v>42019</v>
      </c>
      <c r="F573" s="16">
        <v>42369</v>
      </c>
      <c r="G573" s="13">
        <v>51280.32</v>
      </c>
      <c r="H573" s="16">
        <v>42369</v>
      </c>
      <c r="I573" s="13">
        <v>40569.51</v>
      </c>
      <c r="J573" s="13">
        <f t="shared" si="24"/>
        <v>50711.887500000004</v>
      </c>
      <c r="K573" s="6"/>
    </row>
    <row r="574" spans="1:11" ht="24" x14ac:dyDescent="0.25">
      <c r="A574" s="3">
        <v>154</v>
      </c>
      <c r="B574" s="14" t="s">
        <v>360</v>
      </c>
      <c r="C574" s="15" t="str">
        <f>"10210/161"</f>
        <v>10210/161</v>
      </c>
      <c r="D574" s="15" t="str">
        <f t="shared" si="23"/>
        <v>INA INDUSTRIJA NAFTE D.D.</v>
      </c>
      <c r="E574" s="16">
        <v>42019</v>
      </c>
      <c r="F574" s="16">
        <v>42369</v>
      </c>
      <c r="G574" s="13">
        <v>243664.61</v>
      </c>
      <c r="H574" s="16">
        <v>42369</v>
      </c>
      <c r="I574" s="13">
        <v>243664.61</v>
      </c>
      <c r="J574" s="13">
        <f t="shared" si="24"/>
        <v>304580.76249999995</v>
      </c>
      <c r="K574" s="6"/>
    </row>
    <row r="575" spans="1:11" ht="24" x14ac:dyDescent="0.25">
      <c r="A575" s="3">
        <v>155</v>
      </c>
      <c r="B575" s="14" t="s">
        <v>211</v>
      </c>
      <c r="C575" s="15" t="str">
        <f>"RA-14-03/33"</f>
        <v>RA-14-03/33</v>
      </c>
      <c r="D575" s="15" t="str">
        <f t="shared" si="23"/>
        <v>INA INDUSTRIJA NAFTE D.D.</v>
      </c>
      <c r="E575" s="16">
        <v>41996</v>
      </c>
      <c r="F575" s="16">
        <v>42369</v>
      </c>
      <c r="G575" s="13">
        <v>130347.6</v>
      </c>
      <c r="H575" s="16">
        <v>42369</v>
      </c>
      <c r="I575" s="13">
        <v>168056.14</v>
      </c>
      <c r="J575" s="13">
        <f t="shared" si="24"/>
        <v>210070.17500000002</v>
      </c>
      <c r="K575" s="6"/>
    </row>
    <row r="576" spans="1:11" ht="24" x14ac:dyDescent="0.25">
      <c r="A576" s="3">
        <v>156</v>
      </c>
      <c r="B576" s="14" t="s">
        <v>214</v>
      </c>
      <c r="C576" s="15" t="str">
        <f>"UG-50000234-00010/15"</f>
        <v>UG-50000234-00010/15</v>
      </c>
      <c r="D576" s="15" t="str">
        <f t="shared" si="23"/>
        <v>INA INDUSTRIJA NAFTE D.D.</v>
      </c>
      <c r="E576" s="16">
        <v>42003</v>
      </c>
      <c r="F576" s="16">
        <v>42369</v>
      </c>
      <c r="G576" s="13">
        <v>692242</v>
      </c>
      <c r="H576" s="16">
        <v>42369</v>
      </c>
      <c r="I576" s="13">
        <v>643430.27</v>
      </c>
      <c r="J576" s="13">
        <f t="shared" si="24"/>
        <v>804287.83750000002</v>
      </c>
      <c r="K576" s="6"/>
    </row>
    <row r="577" spans="1:11" ht="24" x14ac:dyDescent="0.25">
      <c r="A577" s="3">
        <v>157</v>
      </c>
      <c r="B577" s="14" t="s">
        <v>291</v>
      </c>
      <c r="C577" s="15" t="str">
        <f>"UG-50000234-00196/15"</f>
        <v>UG-50000234-00196/15</v>
      </c>
      <c r="D577" s="15" t="str">
        <f t="shared" si="23"/>
        <v>INA INDUSTRIJA NAFTE D.D.</v>
      </c>
      <c r="E577" s="16">
        <v>42020</v>
      </c>
      <c r="F577" s="16">
        <v>42369</v>
      </c>
      <c r="G577" s="13">
        <v>71537.2</v>
      </c>
      <c r="H577" s="16">
        <v>42369</v>
      </c>
      <c r="I577" s="13">
        <v>31163</v>
      </c>
      <c r="J577" s="13">
        <f t="shared" si="24"/>
        <v>38953.75</v>
      </c>
      <c r="K577" s="6"/>
    </row>
    <row r="578" spans="1:11" ht="24" x14ac:dyDescent="0.25">
      <c r="A578" s="3">
        <v>158</v>
      </c>
      <c r="B578" s="14" t="s">
        <v>218</v>
      </c>
      <c r="C578" s="15" t="str">
        <f>"UG-50000234-00346/15"</f>
        <v>UG-50000234-00346/15</v>
      </c>
      <c r="D578" s="15" t="str">
        <f t="shared" si="23"/>
        <v>INA INDUSTRIJA NAFTE D.D.</v>
      </c>
      <c r="E578" s="16">
        <v>42026</v>
      </c>
      <c r="F578" s="16">
        <v>42369</v>
      </c>
      <c r="G578" s="13">
        <v>35864.800000000003</v>
      </c>
      <c r="H578" s="16">
        <v>42369</v>
      </c>
      <c r="I578" s="13">
        <v>48242</v>
      </c>
      <c r="J578" s="13">
        <f t="shared" si="24"/>
        <v>60302.5</v>
      </c>
      <c r="K578" s="6"/>
    </row>
    <row r="579" spans="1:11" ht="24" x14ac:dyDescent="0.25">
      <c r="A579" s="3">
        <v>159</v>
      </c>
      <c r="B579" s="14" t="s">
        <v>148</v>
      </c>
      <c r="C579" s="15" t="str">
        <f>"UG-50000234-00140/15"</f>
        <v>UG-50000234-00140/15</v>
      </c>
      <c r="D579" s="15" t="str">
        <f t="shared" si="23"/>
        <v>INA INDUSTRIJA NAFTE D.D.</v>
      </c>
      <c r="E579" s="16">
        <v>42023</v>
      </c>
      <c r="F579" s="16">
        <v>42369</v>
      </c>
      <c r="G579" s="13">
        <v>12740</v>
      </c>
      <c r="H579" s="16">
        <v>42369</v>
      </c>
      <c r="I579" s="13">
        <v>10803.7</v>
      </c>
      <c r="J579" s="13">
        <f t="shared" si="24"/>
        <v>13504.625</v>
      </c>
      <c r="K579" s="6"/>
    </row>
    <row r="580" spans="1:11" ht="24" x14ac:dyDescent="0.25">
      <c r="A580" s="3">
        <v>160</v>
      </c>
      <c r="B580" s="14" t="s">
        <v>292</v>
      </c>
      <c r="C580" s="15" t="str">
        <f>"UG-00405/15-1"</f>
        <v>UG-00405/15-1</v>
      </c>
      <c r="D580" s="15" t="str">
        <f t="shared" si="23"/>
        <v>INA INDUSTRIJA NAFTE D.D.</v>
      </c>
      <c r="E580" s="16">
        <v>42032</v>
      </c>
      <c r="F580" s="16">
        <v>42369</v>
      </c>
      <c r="G580" s="13">
        <v>46723.31</v>
      </c>
      <c r="H580" s="16">
        <v>42369</v>
      </c>
      <c r="I580" s="13">
        <v>47016.17</v>
      </c>
      <c r="J580" s="13">
        <f t="shared" si="24"/>
        <v>58770.212499999994</v>
      </c>
      <c r="K580" s="6"/>
    </row>
    <row r="581" spans="1:11" ht="24" x14ac:dyDescent="0.25">
      <c r="A581" s="3">
        <v>161</v>
      </c>
      <c r="B581" s="14" t="s">
        <v>293</v>
      </c>
      <c r="C581" s="15" t="str">
        <f>"UG-00405/15-2"</f>
        <v>UG-00405/15-2</v>
      </c>
      <c r="D581" s="15" t="str">
        <f t="shared" si="23"/>
        <v>INA INDUSTRIJA NAFTE D.D.</v>
      </c>
      <c r="E581" s="16">
        <v>42031</v>
      </c>
      <c r="F581" s="16">
        <v>42369</v>
      </c>
      <c r="G581" s="13">
        <v>88911.2</v>
      </c>
      <c r="H581" s="16">
        <v>42369</v>
      </c>
      <c r="I581" s="13">
        <v>97086.57</v>
      </c>
      <c r="J581" s="13">
        <f t="shared" si="24"/>
        <v>121358.21250000001</v>
      </c>
      <c r="K581" s="6"/>
    </row>
    <row r="582" spans="1:11" ht="24" x14ac:dyDescent="0.25">
      <c r="A582" s="3">
        <v>162</v>
      </c>
      <c r="B582" s="14" t="s">
        <v>294</v>
      </c>
      <c r="C582" s="15" t="str">
        <f>"UG-50000234-00257/15"</f>
        <v>UG-50000234-00257/15</v>
      </c>
      <c r="D582" s="15" t="str">
        <f t="shared" si="23"/>
        <v>INA INDUSTRIJA NAFTE D.D.</v>
      </c>
      <c r="E582" s="16">
        <v>42040</v>
      </c>
      <c r="F582" s="16">
        <v>42369</v>
      </c>
      <c r="G582" s="13">
        <v>45639.360000000001</v>
      </c>
      <c r="H582" s="16">
        <v>42369</v>
      </c>
      <c r="I582" s="13">
        <v>38343.94</v>
      </c>
      <c r="J582" s="13">
        <f t="shared" si="24"/>
        <v>47929.925000000003</v>
      </c>
      <c r="K582" s="6"/>
    </row>
    <row r="583" spans="1:11" ht="36" x14ac:dyDescent="0.25">
      <c r="A583" s="3">
        <v>163</v>
      </c>
      <c r="B583" s="14" t="s">
        <v>295</v>
      </c>
      <c r="C583" s="15" t="str">
        <f>"UG-50000234-00252/15"</f>
        <v>UG-50000234-00252/15</v>
      </c>
      <c r="D583" s="15" t="str">
        <f t="shared" si="23"/>
        <v>INA INDUSTRIJA NAFTE D.D.</v>
      </c>
      <c r="E583" s="16">
        <v>42027</v>
      </c>
      <c r="F583" s="16">
        <v>42369</v>
      </c>
      <c r="G583" s="13">
        <v>10091.200000000001</v>
      </c>
      <c r="H583" s="16">
        <v>42369</v>
      </c>
      <c r="I583" s="13">
        <v>11387.64</v>
      </c>
      <c r="J583" s="13">
        <f t="shared" si="24"/>
        <v>14234.55</v>
      </c>
      <c r="K583" s="6"/>
    </row>
    <row r="584" spans="1:11" ht="24" x14ac:dyDescent="0.25">
      <c r="A584" s="3">
        <v>164</v>
      </c>
      <c r="B584" s="14" t="s">
        <v>189</v>
      </c>
      <c r="C584" s="15" t="str">
        <f>"UG-50000234-00210/15"</f>
        <v>UG-50000234-00210/15</v>
      </c>
      <c r="D584" s="15" t="str">
        <f t="shared" si="23"/>
        <v>INA INDUSTRIJA NAFTE D.D.</v>
      </c>
      <c r="E584" s="16">
        <v>42027</v>
      </c>
      <c r="F584" s="16">
        <v>42369</v>
      </c>
      <c r="G584" s="13">
        <v>188782.4</v>
      </c>
      <c r="H584" s="16">
        <v>42369</v>
      </c>
      <c r="I584" s="13">
        <v>163505.75</v>
      </c>
      <c r="J584" s="13">
        <f t="shared" si="24"/>
        <v>204382.1875</v>
      </c>
      <c r="K584" s="6"/>
    </row>
    <row r="585" spans="1:11" ht="24" x14ac:dyDescent="0.25">
      <c r="A585" s="3">
        <v>165</v>
      </c>
      <c r="B585" s="14" t="s">
        <v>165</v>
      </c>
      <c r="C585" s="15" t="str">
        <f>"UG-50000234-00313/15"</f>
        <v>UG-50000234-00313/15</v>
      </c>
      <c r="D585" s="15" t="str">
        <f t="shared" si="23"/>
        <v>INA INDUSTRIJA NAFTE D.D.</v>
      </c>
      <c r="E585" s="16">
        <v>42025</v>
      </c>
      <c r="F585" s="16">
        <v>42369</v>
      </c>
      <c r="G585" s="13">
        <v>11872</v>
      </c>
      <c r="H585" s="16">
        <v>42369</v>
      </c>
      <c r="I585" s="13">
        <v>8163.98</v>
      </c>
      <c r="J585" s="13">
        <f t="shared" si="24"/>
        <v>10204.974999999999</v>
      </c>
      <c r="K585" s="6"/>
    </row>
    <row r="586" spans="1:11" ht="24" x14ac:dyDescent="0.25">
      <c r="A586" s="3">
        <v>166</v>
      </c>
      <c r="B586" s="14" t="s">
        <v>296</v>
      </c>
      <c r="C586" s="15" t="str">
        <f>"UG-50000234-00299/15"</f>
        <v>UG-50000234-00299/15</v>
      </c>
      <c r="D586" s="15" t="str">
        <f t="shared" si="23"/>
        <v>INA INDUSTRIJA NAFTE D.D.</v>
      </c>
      <c r="E586" s="16">
        <v>42026</v>
      </c>
      <c r="F586" s="16">
        <v>42369</v>
      </c>
      <c r="G586" s="13">
        <v>10684.8</v>
      </c>
      <c r="H586" s="16">
        <v>42369</v>
      </c>
      <c r="I586" s="13">
        <v>10349.23</v>
      </c>
      <c r="J586" s="13">
        <f t="shared" si="24"/>
        <v>12936.537499999999</v>
      </c>
      <c r="K586" s="6"/>
    </row>
    <row r="587" spans="1:11" ht="24" x14ac:dyDescent="0.25">
      <c r="A587" s="3">
        <v>167</v>
      </c>
      <c r="B587" s="14" t="s">
        <v>202</v>
      </c>
      <c r="C587" s="15" t="str">
        <f>"UG-50000234-00117/15"</f>
        <v>UG-50000234-00117/15</v>
      </c>
      <c r="D587" s="15" t="str">
        <f t="shared" si="23"/>
        <v>INA INDUSTRIJA NAFTE D.D.</v>
      </c>
      <c r="E587" s="16">
        <v>42020</v>
      </c>
      <c r="F587" s="16">
        <v>42369</v>
      </c>
      <c r="G587" s="13">
        <v>20786.080000000002</v>
      </c>
      <c r="H587" s="16">
        <v>42369</v>
      </c>
      <c r="I587" s="13">
        <v>26276.080000000002</v>
      </c>
      <c r="J587" s="13">
        <f t="shared" si="24"/>
        <v>32845.100000000006</v>
      </c>
      <c r="K587" s="6"/>
    </row>
    <row r="588" spans="1:11" ht="24" x14ac:dyDescent="0.25">
      <c r="A588" s="3">
        <v>168</v>
      </c>
      <c r="B588" s="14" t="s">
        <v>215</v>
      </c>
      <c r="C588" s="15" t="str">
        <f>"UG-50000234-00216/15"</f>
        <v>UG-50000234-00216/15</v>
      </c>
      <c r="D588" s="15" t="str">
        <f t="shared" si="23"/>
        <v>INA INDUSTRIJA NAFTE D.D.</v>
      </c>
      <c r="E588" s="16">
        <v>42034</v>
      </c>
      <c r="F588" s="16">
        <v>42369</v>
      </c>
      <c r="G588" s="13">
        <v>23545.78</v>
      </c>
      <c r="H588" s="16">
        <v>42369</v>
      </c>
      <c r="I588" s="13">
        <v>24952.3</v>
      </c>
      <c r="J588" s="13">
        <f t="shared" si="24"/>
        <v>31190.375</v>
      </c>
      <c r="K588" s="6"/>
    </row>
    <row r="589" spans="1:11" ht="24" x14ac:dyDescent="0.25">
      <c r="A589" s="3">
        <v>169</v>
      </c>
      <c r="B589" s="14" t="s">
        <v>297</v>
      </c>
      <c r="C589" s="15" t="str">
        <f>"UG-50000234-00073/15"</f>
        <v>UG-50000234-00073/15</v>
      </c>
      <c r="D589" s="15" t="str">
        <f t="shared" si="23"/>
        <v>INA INDUSTRIJA NAFTE D.D.</v>
      </c>
      <c r="E589" s="16">
        <v>42013</v>
      </c>
      <c r="F589" s="16">
        <v>42369</v>
      </c>
      <c r="G589" s="13">
        <v>10857</v>
      </c>
      <c r="H589" s="16">
        <v>42369</v>
      </c>
      <c r="I589" s="13">
        <v>10857</v>
      </c>
      <c r="J589" s="13">
        <f t="shared" si="24"/>
        <v>13571.25</v>
      </c>
      <c r="K589" s="6"/>
    </row>
    <row r="590" spans="1:11" ht="24" x14ac:dyDescent="0.25">
      <c r="A590" s="3">
        <v>170</v>
      </c>
      <c r="B590" s="14" t="s">
        <v>298</v>
      </c>
      <c r="C590" s="15" t="str">
        <f>"UG-50000234-00077/15"</f>
        <v>UG-50000234-00077/15</v>
      </c>
      <c r="D590" s="15" t="str">
        <f t="shared" si="23"/>
        <v>INA INDUSTRIJA NAFTE D.D.</v>
      </c>
      <c r="E590" s="16">
        <v>42011</v>
      </c>
      <c r="F590" s="16">
        <v>42369</v>
      </c>
      <c r="G590" s="13">
        <v>4963200</v>
      </c>
      <c r="H590" s="16">
        <v>42369</v>
      </c>
      <c r="I590" s="13">
        <v>1684.3</v>
      </c>
      <c r="J590" s="13">
        <f t="shared" si="24"/>
        <v>2105.375</v>
      </c>
      <c r="K590" s="6"/>
    </row>
    <row r="591" spans="1:11" ht="24" x14ac:dyDescent="0.25">
      <c r="A591" s="3">
        <v>171</v>
      </c>
      <c r="B591" s="14" t="s">
        <v>208</v>
      </c>
      <c r="C591" s="15" t="str">
        <f>"UG-50000234-00324/15"</f>
        <v>UG-50000234-00324/15</v>
      </c>
      <c r="D591" s="15" t="str">
        <f t="shared" si="23"/>
        <v>INA INDUSTRIJA NAFTE D.D.</v>
      </c>
      <c r="E591" s="16">
        <v>42024</v>
      </c>
      <c r="F591" s="16">
        <v>42369</v>
      </c>
      <c r="G591" s="13">
        <v>47985.599999999999</v>
      </c>
      <c r="H591" s="16">
        <v>42369</v>
      </c>
      <c r="I591" s="13">
        <v>22532.29</v>
      </c>
      <c r="J591" s="13">
        <f t="shared" si="24"/>
        <v>28165.362500000003</v>
      </c>
      <c r="K591" s="6"/>
    </row>
    <row r="592" spans="1:11" ht="24" x14ac:dyDescent="0.25">
      <c r="A592" s="3">
        <v>172</v>
      </c>
      <c r="B592" s="14" t="s">
        <v>299</v>
      </c>
      <c r="C592" s="15" t="str">
        <f>"UG-50000234-00112/15"</f>
        <v>UG-50000234-00112/15</v>
      </c>
      <c r="D592" s="15" t="str">
        <f t="shared" si="23"/>
        <v>INA INDUSTRIJA NAFTE D.D.</v>
      </c>
      <c r="E592" s="16">
        <v>42081</v>
      </c>
      <c r="F592" s="16">
        <v>42369</v>
      </c>
      <c r="G592" s="13">
        <v>16862</v>
      </c>
      <c r="H592" s="16">
        <v>42369</v>
      </c>
      <c r="I592" s="13">
        <v>12536.34</v>
      </c>
      <c r="J592" s="13">
        <f t="shared" si="24"/>
        <v>15670.424999999999</v>
      </c>
      <c r="K592" s="6"/>
    </row>
    <row r="593" spans="1:11" ht="24" x14ac:dyDescent="0.25">
      <c r="A593" s="3">
        <v>173</v>
      </c>
      <c r="B593" s="14" t="s">
        <v>300</v>
      </c>
      <c r="C593" s="15" t="str">
        <f>"UG-00403/15"</f>
        <v>UG-00403/15</v>
      </c>
      <c r="D593" s="15" t="str">
        <f t="shared" si="23"/>
        <v>INA INDUSTRIJA NAFTE D.D.</v>
      </c>
      <c r="E593" s="16">
        <v>42033</v>
      </c>
      <c r="F593" s="16">
        <v>42369</v>
      </c>
      <c r="G593" s="13">
        <v>30188</v>
      </c>
      <c r="H593" s="16">
        <v>42369</v>
      </c>
      <c r="I593" s="13">
        <v>23053.84</v>
      </c>
      <c r="J593" s="13">
        <f t="shared" si="24"/>
        <v>28817.3</v>
      </c>
      <c r="K593" s="6"/>
    </row>
    <row r="594" spans="1:11" ht="24" x14ac:dyDescent="0.25">
      <c r="A594" s="3">
        <v>174</v>
      </c>
      <c r="B594" s="14" t="s">
        <v>301</v>
      </c>
      <c r="C594" s="15" t="str">
        <f>"UG-50000234-00248/15"</f>
        <v>UG-50000234-00248/15</v>
      </c>
      <c r="D594" s="15" t="str">
        <f t="shared" si="23"/>
        <v>INA INDUSTRIJA NAFTE D.D.</v>
      </c>
      <c r="E594" s="16">
        <v>42023</v>
      </c>
      <c r="F594" s="16">
        <v>42369</v>
      </c>
      <c r="G594" s="13">
        <v>7775.04</v>
      </c>
      <c r="H594" s="16">
        <v>42369</v>
      </c>
      <c r="I594" s="13">
        <v>982.46</v>
      </c>
      <c r="J594" s="13">
        <f t="shared" si="24"/>
        <v>1228.075</v>
      </c>
      <c r="K594" s="6"/>
    </row>
    <row r="595" spans="1:11" ht="24" x14ac:dyDescent="0.25">
      <c r="A595" s="3">
        <v>175</v>
      </c>
      <c r="B595" s="14" t="s">
        <v>192</v>
      </c>
      <c r="C595" s="15" t="str">
        <f>"UG-50000234-00057/15"</f>
        <v>UG-50000234-00057/15</v>
      </c>
      <c r="D595" s="15" t="str">
        <f t="shared" si="23"/>
        <v>INA INDUSTRIJA NAFTE D.D.</v>
      </c>
      <c r="E595" s="16">
        <v>42013</v>
      </c>
      <c r="F595" s="16">
        <v>42369</v>
      </c>
      <c r="G595" s="13">
        <v>53846.59</v>
      </c>
      <c r="H595" s="16">
        <v>42369</v>
      </c>
      <c r="I595" s="13">
        <v>32767</v>
      </c>
      <c r="J595" s="13">
        <f t="shared" si="24"/>
        <v>40958.75</v>
      </c>
      <c r="K595" s="6"/>
    </row>
    <row r="596" spans="1:11" ht="24" x14ac:dyDescent="0.25">
      <c r="A596" s="3">
        <v>176</v>
      </c>
      <c r="B596" s="14" t="s">
        <v>128</v>
      </c>
      <c r="C596" s="15" t="str">
        <f>"UG-50000234-00255/15"</f>
        <v>UG-50000234-00255/15</v>
      </c>
      <c r="D596" s="15" t="str">
        <f t="shared" si="23"/>
        <v>INA INDUSTRIJA NAFTE D.D.</v>
      </c>
      <c r="E596" s="16">
        <v>42026</v>
      </c>
      <c r="F596" s="16">
        <v>42369</v>
      </c>
      <c r="G596" s="13">
        <v>9547.36</v>
      </c>
      <c r="H596" s="16">
        <v>42369</v>
      </c>
      <c r="I596" s="13">
        <v>874.6</v>
      </c>
      <c r="J596" s="13">
        <f t="shared" si="24"/>
        <v>1093.25</v>
      </c>
      <c r="K596" s="6"/>
    </row>
    <row r="597" spans="1:11" ht="36" x14ac:dyDescent="0.25">
      <c r="A597" s="3">
        <v>177</v>
      </c>
      <c r="B597" s="14" t="s">
        <v>302</v>
      </c>
      <c r="C597" s="15" t="str">
        <f>"UG-50000234-00065/15"</f>
        <v>UG-50000234-00065/15</v>
      </c>
      <c r="D597" s="15" t="str">
        <f t="shared" si="23"/>
        <v>INA INDUSTRIJA NAFTE D.D.</v>
      </c>
      <c r="E597" s="16">
        <v>42006</v>
      </c>
      <c r="F597" s="16">
        <v>42369</v>
      </c>
      <c r="G597" s="13">
        <v>21909.599999999999</v>
      </c>
      <c r="H597" s="16">
        <v>42369</v>
      </c>
      <c r="I597" s="13">
        <v>11193.78</v>
      </c>
      <c r="J597" s="13">
        <f t="shared" si="24"/>
        <v>13992.225</v>
      </c>
      <c r="K597" s="6"/>
    </row>
    <row r="598" spans="1:11" ht="24" x14ac:dyDescent="0.25">
      <c r="A598" s="3">
        <v>178</v>
      </c>
      <c r="B598" s="14" t="s">
        <v>190</v>
      </c>
      <c r="C598" s="15" t="str">
        <f>"UG-50000234-00272/15"</f>
        <v>UG-50000234-00272/15</v>
      </c>
      <c r="D598" s="15" t="str">
        <f t="shared" si="23"/>
        <v>INA INDUSTRIJA NAFTE D.D.</v>
      </c>
      <c r="E598" s="16">
        <v>42040</v>
      </c>
      <c r="F598" s="16">
        <v>42369</v>
      </c>
      <c r="G598" s="13">
        <v>43107.199999999997</v>
      </c>
      <c r="H598" s="16">
        <v>42369</v>
      </c>
      <c r="I598" s="13">
        <v>46878.52</v>
      </c>
      <c r="J598" s="13">
        <f t="shared" si="24"/>
        <v>58598.149999999994</v>
      </c>
      <c r="K598" s="6"/>
    </row>
    <row r="599" spans="1:11" ht="24" x14ac:dyDescent="0.25">
      <c r="A599" s="3">
        <v>179</v>
      </c>
      <c r="B599" s="14" t="s">
        <v>222</v>
      </c>
      <c r="C599" s="15" t="str">
        <f>"UG-50000234-00012/15"</f>
        <v>UG-50000234-00012/15</v>
      </c>
      <c r="D599" s="15" t="str">
        <f t="shared" si="23"/>
        <v>INA INDUSTRIJA NAFTE D.D.</v>
      </c>
      <c r="E599" s="16">
        <v>42004</v>
      </c>
      <c r="F599" s="16">
        <v>42369</v>
      </c>
      <c r="G599" s="13">
        <v>38765.599999999999</v>
      </c>
      <c r="H599" s="16">
        <v>42369</v>
      </c>
      <c r="I599" s="13">
        <v>22375.32</v>
      </c>
      <c r="J599" s="13">
        <f t="shared" si="24"/>
        <v>27969.15</v>
      </c>
      <c r="K599" s="6"/>
    </row>
    <row r="600" spans="1:11" ht="24" x14ac:dyDescent="0.25">
      <c r="A600" s="3">
        <v>180</v>
      </c>
      <c r="B600" s="14" t="s">
        <v>131</v>
      </c>
      <c r="C600" s="15" t="str">
        <f>"UG-50000234-00194/15"</f>
        <v>UG-50000234-00194/15</v>
      </c>
      <c r="D600" s="15" t="str">
        <f t="shared" si="23"/>
        <v>INA INDUSTRIJA NAFTE D.D.</v>
      </c>
      <c r="E600" s="16">
        <v>42019</v>
      </c>
      <c r="F600" s="16">
        <v>42369</v>
      </c>
      <c r="G600" s="13">
        <v>22022</v>
      </c>
      <c r="H600" s="16">
        <v>42369</v>
      </c>
      <c r="I600" s="13">
        <v>13221.89</v>
      </c>
      <c r="J600" s="13">
        <f t="shared" si="24"/>
        <v>16527.362499999999</v>
      </c>
      <c r="K600" s="6"/>
    </row>
    <row r="601" spans="1:11" ht="24" x14ac:dyDescent="0.25">
      <c r="A601" s="3">
        <v>181</v>
      </c>
      <c r="B601" s="14" t="s">
        <v>303</v>
      </c>
      <c r="C601" s="15" t="str">
        <f>"UG-50000234-00034/15"</f>
        <v>UG-50000234-00034/15</v>
      </c>
      <c r="D601" s="15" t="str">
        <f t="shared" si="23"/>
        <v>INA INDUSTRIJA NAFTE D.D.</v>
      </c>
      <c r="E601" s="16">
        <v>42024</v>
      </c>
      <c r="F601" s="16">
        <v>42369</v>
      </c>
      <c r="G601" s="13">
        <v>27402</v>
      </c>
      <c r="H601" s="16">
        <v>42369</v>
      </c>
      <c r="I601" s="13">
        <v>13146.14</v>
      </c>
      <c r="J601" s="13">
        <f t="shared" si="24"/>
        <v>16432.674999999999</v>
      </c>
      <c r="K601" s="6"/>
    </row>
    <row r="602" spans="1:11" ht="36" x14ac:dyDescent="0.25">
      <c r="A602" s="3">
        <v>182</v>
      </c>
      <c r="B602" s="14" t="s">
        <v>130</v>
      </c>
      <c r="C602" s="15" t="str">
        <f>"UG-50000234-00153/15"</f>
        <v>UG-50000234-00153/15</v>
      </c>
      <c r="D602" s="15" t="str">
        <f t="shared" si="23"/>
        <v>INA INDUSTRIJA NAFTE D.D.</v>
      </c>
      <c r="E602" s="16">
        <v>42025</v>
      </c>
      <c r="F602" s="16">
        <v>42369</v>
      </c>
      <c r="G602" s="13">
        <v>64763.6</v>
      </c>
      <c r="H602" s="16">
        <v>42369</v>
      </c>
      <c r="I602" s="13">
        <v>54940</v>
      </c>
      <c r="J602" s="13">
        <f t="shared" si="24"/>
        <v>68675</v>
      </c>
      <c r="K602" s="6"/>
    </row>
    <row r="603" spans="1:11" ht="24" x14ac:dyDescent="0.25">
      <c r="A603" s="3">
        <v>183</v>
      </c>
      <c r="B603" s="14" t="s">
        <v>304</v>
      </c>
      <c r="C603" s="15" t="str">
        <f>"UG-50000234-00004/15"</f>
        <v>UG-50000234-00004/15</v>
      </c>
      <c r="D603" s="15" t="str">
        <f t="shared" si="23"/>
        <v>INA INDUSTRIJA NAFTE D.D.</v>
      </c>
      <c r="E603" s="16">
        <v>41997</v>
      </c>
      <c r="F603" s="16">
        <v>42369</v>
      </c>
      <c r="G603" s="13">
        <v>26337.040000000001</v>
      </c>
      <c r="H603" s="16">
        <v>42369</v>
      </c>
      <c r="I603" s="13">
        <v>23957.599999999999</v>
      </c>
      <c r="J603" s="13">
        <f t="shared" si="24"/>
        <v>29947</v>
      </c>
      <c r="K603" s="6"/>
    </row>
    <row r="604" spans="1:11" ht="36" x14ac:dyDescent="0.25">
      <c r="A604" s="3">
        <v>184</v>
      </c>
      <c r="B604" s="14" t="s">
        <v>160</v>
      </c>
      <c r="C604" s="15" t="str">
        <f>"UG-50000234-00032/15"</f>
        <v>UG-50000234-00032/15</v>
      </c>
      <c r="D604" s="15" t="str">
        <f t="shared" si="23"/>
        <v>INA INDUSTRIJA NAFTE D.D.</v>
      </c>
      <c r="E604" s="16">
        <v>42013</v>
      </c>
      <c r="F604" s="16">
        <v>42369</v>
      </c>
      <c r="G604" s="13">
        <v>109332.24</v>
      </c>
      <c r="H604" s="16">
        <v>42369</v>
      </c>
      <c r="I604" s="13">
        <v>118991.27</v>
      </c>
      <c r="J604" s="13">
        <f t="shared" si="24"/>
        <v>148739.08749999999</v>
      </c>
      <c r="K604" s="6"/>
    </row>
    <row r="605" spans="1:11" ht="36" x14ac:dyDescent="0.25">
      <c r="A605" s="3">
        <v>185</v>
      </c>
      <c r="B605" s="14" t="s">
        <v>305</v>
      </c>
      <c r="C605" s="15" t="str">
        <f>"UG-50000234-00238/15"</f>
        <v>UG-50000234-00238/15</v>
      </c>
      <c r="D605" s="15" t="str">
        <f t="shared" si="23"/>
        <v>INA INDUSTRIJA NAFTE D.D.</v>
      </c>
      <c r="E605" s="16">
        <v>42027</v>
      </c>
      <c r="F605" s="16">
        <v>42369</v>
      </c>
      <c r="G605" s="13">
        <v>57548.800000000003</v>
      </c>
      <c r="H605" s="16">
        <v>42369</v>
      </c>
      <c r="I605" s="13">
        <v>46533.52</v>
      </c>
      <c r="J605" s="13">
        <f t="shared" si="24"/>
        <v>58166.899999999994</v>
      </c>
      <c r="K605" s="6"/>
    </row>
    <row r="606" spans="1:11" ht="36" x14ac:dyDescent="0.25">
      <c r="A606" s="3">
        <v>186</v>
      </c>
      <c r="B606" s="14" t="s">
        <v>306</v>
      </c>
      <c r="C606" s="15" t="str">
        <f>"UG-50000234-00145/15"</f>
        <v>UG-50000234-00145/15</v>
      </c>
      <c r="D606" s="15" t="str">
        <f t="shared" si="23"/>
        <v>INA INDUSTRIJA NAFTE D.D.</v>
      </c>
      <c r="E606" s="16">
        <v>42018</v>
      </c>
      <c r="F606" s="16">
        <v>42369</v>
      </c>
      <c r="G606" s="13">
        <v>31100.16</v>
      </c>
      <c r="H606" s="16">
        <v>42369</v>
      </c>
      <c r="I606" s="13">
        <v>29024.87</v>
      </c>
      <c r="J606" s="13">
        <f t="shared" si="24"/>
        <v>36281.087500000001</v>
      </c>
      <c r="K606" s="6"/>
    </row>
    <row r="607" spans="1:11" ht="24" x14ac:dyDescent="0.25">
      <c r="A607" s="3">
        <v>187</v>
      </c>
      <c r="B607" s="14" t="s">
        <v>174</v>
      </c>
      <c r="C607" s="15" t="str">
        <f>"UG-50000234-00261/15"</f>
        <v>UG-50000234-00261/15</v>
      </c>
      <c r="D607" s="15" t="str">
        <f t="shared" si="23"/>
        <v>INA INDUSTRIJA NAFTE D.D.</v>
      </c>
      <c r="E607" s="16">
        <v>42023</v>
      </c>
      <c r="F607" s="16">
        <v>42369</v>
      </c>
      <c r="G607" s="13">
        <v>29298.36</v>
      </c>
      <c r="H607" s="16">
        <v>42369</v>
      </c>
      <c r="I607" s="13">
        <v>30325.74</v>
      </c>
      <c r="J607" s="13">
        <f t="shared" si="24"/>
        <v>37907.175000000003</v>
      </c>
      <c r="K607" s="6"/>
    </row>
    <row r="608" spans="1:11" ht="24" x14ac:dyDescent="0.25">
      <c r="A608" s="3">
        <v>188</v>
      </c>
      <c r="B608" s="14" t="s">
        <v>307</v>
      </c>
      <c r="C608" s="15" t="str">
        <f>"UG-50000234-00067/15"</f>
        <v>UG-50000234-00067/15</v>
      </c>
      <c r="D608" s="15" t="str">
        <f t="shared" si="23"/>
        <v>INA INDUSTRIJA NAFTE D.D.</v>
      </c>
      <c r="E608" s="16">
        <v>42017</v>
      </c>
      <c r="F608" s="16">
        <v>42369</v>
      </c>
      <c r="G608" s="13">
        <v>10266.76</v>
      </c>
      <c r="H608" s="16">
        <v>42369</v>
      </c>
      <c r="I608" s="13">
        <v>4811.1400000000003</v>
      </c>
      <c r="J608" s="13">
        <f t="shared" si="24"/>
        <v>6013.9250000000002</v>
      </c>
      <c r="K608" s="6"/>
    </row>
    <row r="609" spans="1:11" ht="24" x14ac:dyDescent="0.25">
      <c r="A609" s="3">
        <v>189</v>
      </c>
      <c r="B609" s="14" t="s">
        <v>308</v>
      </c>
      <c r="C609" s="15" t="str">
        <f>"UG-50000234-00036/15"</f>
        <v>UG-50000234-00036/15</v>
      </c>
      <c r="D609" s="15" t="str">
        <f t="shared" si="23"/>
        <v>INA INDUSTRIJA NAFTE D.D.</v>
      </c>
      <c r="E609" s="16">
        <v>42005</v>
      </c>
      <c r="F609" s="16">
        <v>42369</v>
      </c>
      <c r="G609" s="13">
        <v>71952.52</v>
      </c>
      <c r="H609" s="16">
        <v>42369</v>
      </c>
      <c r="I609" s="40">
        <v>0</v>
      </c>
      <c r="J609" s="40">
        <f t="shared" si="24"/>
        <v>0</v>
      </c>
      <c r="K609" s="6"/>
    </row>
    <row r="610" spans="1:11" ht="24" x14ac:dyDescent="0.25">
      <c r="A610" s="3">
        <v>190</v>
      </c>
      <c r="B610" s="14" t="s">
        <v>108</v>
      </c>
      <c r="C610" s="15" t="str">
        <f>"1/15-3"</f>
        <v>1/15-3</v>
      </c>
      <c r="D610" s="15" t="str">
        <f t="shared" si="23"/>
        <v>INA INDUSTRIJA NAFTE D.D.</v>
      </c>
      <c r="E610" s="16">
        <v>42013</v>
      </c>
      <c r="F610" s="16">
        <v>42369</v>
      </c>
      <c r="G610" s="13">
        <v>222149.05</v>
      </c>
      <c r="H610" s="16">
        <v>42369</v>
      </c>
      <c r="I610" s="13">
        <v>125043.32</v>
      </c>
      <c r="J610" s="13">
        <f t="shared" si="24"/>
        <v>156304.15000000002</v>
      </c>
      <c r="K610" s="6"/>
    </row>
    <row r="611" spans="1:11" ht="24" x14ac:dyDescent="0.25">
      <c r="A611" s="3">
        <v>191</v>
      </c>
      <c r="B611" s="14" t="s">
        <v>309</v>
      </c>
      <c r="C611" s="15" t="str">
        <f>"UG-50000234-00191/15"</f>
        <v>UG-50000234-00191/15</v>
      </c>
      <c r="D611" s="15" t="str">
        <f t="shared" ref="D611:D674" si="25">CONCATENATE("INA INDUSTRIJA NAFTE D.D.")</f>
        <v>INA INDUSTRIJA NAFTE D.D.</v>
      </c>
      <c r="E611" s="16">
        <v>42019</v>
      </c>
      <c r="F611" s="16">
        <v>42369</v>
      </c>
      <c r="G611" s="13">
        <v>3021.2</v>
      </c>
      <c r="H611" s="16">
        <v>42369</v>
      </c>
      <c r="I611" s="13">
        <v>0</v>
      </c>
      <c r="J611" s="13">
        <f t="shared" si="24"/>
        <v>0</v>
      </c>
      <c r="K611" s="6"/>
    </row>
    <row r="612" spans="1:11" ht="24" x14ac:dyDescent="0.25">
      <c r="A612" s="3">
        <v>192</v>
      </c>
      <c r="B612" s="14" t="s">
        <v>40</v>
      </c>
      <c r="C612" s="15" t="str">
        <f>"2-2015/P+VP"</f>
        <v>2-2015/P+VP</v>
      </c>
      <c r="D612" s="15" t="str">
        <f t="shared" si="25"/>
        <v>INA INDUSTRIJA NAFTE D.D.</v>
      </c>
      <c r="E612" s="16">
        <v>42004</v>
      </c>
      <c r="F612" s="16">
        <v>42369</v>
      </c>
      <c r="G612" s="13">
        <v>352095.9</v>
      </c>
      <c r="H612" s="16">
        <v>42369</v>
      </c>
      <c r="I612" s="13">
        <v>290376.71000000002</v>
      </c>
      <c r="J612" s="13">
        <f t="shared" ref="J612:J675" si="26">I612*1.25</f>
        <v>362970.88750000001</v>
      </c>
      <c r="K612" s="6"/>
    </row>
    <row r="613" spans="1:11" ht="24" x14ac:dyDescent="0.25">
      <c r="A613" s="3">
        <v>193</v>
      </c>
      <c r="B613" s="14" t="s">
        <v>198</v>
      </c>
      <c r="C613" s="15" t="str">
        <f>"UG-50000234-00107/15"</f>
        <v>UG-50000234-00107/15</v>
      </c>
      <c r="D613" s="15" t="str">
        <f t="shared" si="25"/>
        <v>INA INDUSTRIJA NAFTE D.D.</v>
      </c>
      <c r="E613" s="16">
        <v>42023</v>
      </c>
      <c r="F613" s="16">
        <v>42369</v>
      </c>
      <c r="G613" s="13">
        <v>3021.2</v>
      </c>
      <c r="H613" s="16">
        <v>42369</v>
      </c>
      <c r="I613" s="13">
        <v>2537.31</v>
      </c>
      <c r="J613" s="13">
        <f t="shared" si="26"/>
        <v>3171.6374999999998</v>
      </c>
      <c r="K613" s="6"/>
    </row>
    <row r="614" spans="1:11" ht="24" x14ac:dyDescent="0.25">
      <c r="A614" s="3">
        <v>194</v>
      </c>
      <c r="B614" s="14" t="s">
        <v>197</v>
      </c>
      <c r="C614" s="15" t="str">
        <f>"UG-50000234-00105/15"</f>
        <v>UG-50000234-00105/15</v>
      </c>
      <c r="D614" s="15" t="str">
        <f t="shared" si="25"/>
        <v>INA INDUSTRIJA NAFTE D.D.</v>
      </c>
      <c r="E614" s="16">
        <v>42026</v>
      </c>
      <c r="F614" s="16">
        <v>42369</v>
      </c>
      <c r="G614" s="13">
        <v>9152.7999999999993</v>
      </c>
      <c r="H614" s="16">
        <v>42369</v>
      </c>
      <c r="I614" s="13">
        <v>23385.29</v>
      </c>
      <c r="J614" s="13">
        <f t="shared" si="26"/>
        <v>29231.612500000003</v>
      </c>
      <c r="K614" s="6"/>
    </row>
    <row r="615" spans="1:11" ht="24" x14ac:dyDescent="0.25">
      <c r="A615" s="3">
        <v>195</v>
      </c>
      <c r="B615" s="14" t="s">
        <v>72</v>
      </c>
      <c r="C615" s="15" t="str">
        <f>"UG-50000234-00110/15"</f>
        <v>UG-50000234-00110/15</v>
      </c>
      <c r="D615" s="15" t="str">
        <f t="shared" si="25"/>
        <v>INA INDUSTRIJA NAFTE D.D.</v>
      </c>
      <c r="E615" s="16">
        <v>42026</v>
      </c>
      <c r="F615" s="16">
        <v>42369</v>
      </c>
      <c r="G615" s="13">
        <v>176107.2</v>
      </c>
      <c r="H615" s="16">
        <v>42369</v>
      </c>
      <c r="I615" s="13">
        <v>152967</v>
      </c>
      <c r="J615" s="13">
        <f t="shared" si="26"/>
        <v>191208.75</v>
      </c>
      <c r="K615" s="6"/>
    </row>
    <row r="616" spans="1:11" ht="24" x14ac:dyDescent="0.25">
      <c r="A616" s="3">
        <v>196</v>
      </c>
      <c r="B616" s="14" t="s">
        <v>71</v>
      </c>
      <c r="C616" s="15" t="str">
        <f>"UG-50000234-00069/15"</f>
        <v>UG-50000234-00069/15</v>
      </c>
      <c r="D616" s="15" t="str">
        <f t="shared" si="25"/>
        <v>INA INDUSTRIJA NAFTE D.D.</v>
      </c>
      <c r="E616" s="16">
        <v>42020</v>
      </c>
      <c r="F616" s="16">
        <v>42369</v>
      </c>
      <c r="G616" s="13">
        <v>100605.96</v>
      </c>
      <c r="H616" s="16">
        <v>42369</v>
      </c>
      <c r="I616" s="13">
        <v>43650.98</v>
      </c>
      <c r="J616" s="13">
        <f t="shared" si="26"/>
        <v>54563.725000000006</v>
      </c>
      <c r="K616" s="6"/>
    </row>
    <row r="617" spans="1:11" ht="24" x14ac:dyDescent="0.25">
      <c r="A617" s="3">
        <v>197</v>
      </c>
      <c r="B617" s="14" t="s">
        <v>196</v>
      </c>
      <c r="C617" s="15" t="str">
        <f>"UG-50000234-00270/15"</f>
        <v>UG-50000234-00270/15</v>
      </c>
      <c r="D617" s="15" t="str">
        <f t="shared" si="25"/>
        <v>INA INDUSTRIJA NAFTE D.D.</v>
      </c>
      <c r="E617" s="16">
        <v>42027</v>
      </c>
      <c r="F617" s="16">
        <v>42722</v>
      </c>
      <c r="G617" s="13">
        <v>161739.22</v>
      </c>
      <c r="H617" s="16">
        <v>42722</v>
      </c>
      <c r="I617" s="13">
        <v>43155.86</v>
      </c>
      <c r="J617" s="13">
        <f t="shared" si="26"/>
        <v>53944.824999999997</v>
      </c>
      <c r="K617" s="6"/>
    </row>
    <row r="618" spans="1:11" ht="24" x14ac:dyDescent="0.25">
      <c r="A618" s="3">
        <v>198</v>
      </c>
      <c r="B618" s="14" t="s">
        <v>38</v>
      </c>
      <c r="C618" s="15" t="str">
        <f>"UG-50000234-00091/15"</f>
        <v>UG-50000234-00091/15</v>
      </c>
      <c r="D618" s="15" t="str">
        <f t="shared" si="25"/>
        <v>INA INDUSTRIJA NAFTE D.D.</v>
      </c>
      <c r="E618" s="16">
        <v>42016</v>
      </c>
      <c r="F618" s="16">
        <v>42722</v>
      </c>
      <c r="G618" s="13">
        <v>106362.4</v>
      </c>
      <c r="H618" s="16">
        <v>42722</v>
      </c>
      <c r="I618" s="13">
        <v>2640.13</v>
      </c>
      <c r="J618" s="13">
        <f t="shared" si="26"/>
        <v>3300.1625000000004</v>
      </c>
      <c r="K618" s="6"/>
    </row>
    <row r="619" spans="1:11" ht="24" x14ac:dyDescent="0.25">
      <c r="A619" s="3">
        <v>199</v>
      </c>
      <c r="B619" s="14" t="s">
        <v>312</v>
      </c>
      <c r="C619" s="15" t="str">
        <f>"UG-50000234-00002/15-1"</f>
        <v>UG-50000234-00002/15-1</v>
      </c>
      <c r="D619" s="15" t="str">
        <f t="shared" si="25"/>
        <v>INA INDUSTRIJA NAFTE D.D.</v>
      </c>
      <c r="E619" s="16">
        <v>42005</v>
      </c>
      <c r="F619" s="16">
        <v>42369</v>
      </c>
      <c r="G619" s="13">
        <v>1014.64</v>
      </c>
      <c r="H619" s="16">
        <v>42369</v>
      </c>
      <c r="I619" s="13">
        <v>979.28</v>
      </c>
      <c r="J619" s="13">
        <f t="shared" si="26"/>
        <v>1224.0999999999999</v>
      </c>
      <c r="K619" s="6"/>
    </row>
    <row r="620" spans="1:11" ht="24" x14ac:dyDescent="0.25">
      <c r="A620" s="3">
        <v>200</v>
      </c>
      <c r="B620" s="14" t="s">
        <v>313</v>
      </c>
      <c r="C620" s="15" t="str">
        <f>"UG-50000234-00002/15-2"</f>
        <v>UG-50000234-00002/15-2</v>
      </c>
      <c r="D620" s="15" t="str">
        <f t="shared" si="25"/>
        <v>INA INDUSTRIJA NAFTE D.D.</v>
      </c>
      <c r="E620" s="16">
        <v>42027</v>
      </c>
      <c r="F620" s="16">
        <v>42369</v>
      </c>
      <c r="G620" s="13">
        <v>6184.8</v>
      </c>
      <c r="H620" s="16">
        <v>42369</v>
      </c>
      <c r="I620" s="13">
        <v>2002.41</v>
      </c>
      <c r="J620" s="13">
        <f t="shared" si="26"/>
        <v>2503.0125000000003</v>
      </c>
      <c r="K620" s="6"/>
    </row>
    <row r="621" spans="1:11" ht="24" x14ac:dyDescent="0.25">
      <c r="A621" s="3">
        <v>201</v>
      </c>
      <c r="B621" s="14" t="s">
        <v>314</v>
      </c>
      <c r="C621" s="15" t="str">
        <f>"UG-50000234-00242"</f>
        <v>UG-50000234-00242</v>
      </c>
      <c r="D621" s="15" t="str">
        <f t="shared" si="25"/>
        <v>INA INDUSTRIJA NAFTE D.D.</v>
      </c>
      <c r="E621" s="16">
        <v>42011</v>
      </c>
      <c r="F621" s="16">
        <v>42722</v>
      </c>
      <c r="G621" s="13">
        <v>400776</v>
      </c>
      <c r="H621" s="16">
        <v>42722</v>
      </c>
      <c r="I621" s="13">
        <v>18656.939999999999</v>
      </c>
      <c r="J621" s="13">
        <f t="shared" si="26"/>
        <v>23321.174999999999</v>
      </c>
      <c r="K621" s="6"/>
    </row>
    <row r="622" spans="1:11" ht="24" x14ac:dyDescent="0.25">
      <c r="A622" s="3">
        <v>202</v>
      </c>
      <c r="B622" s="14" t="s">
        <v>315</v>
      </c>
      <c r="C622" s="15" t="str">
        <f>"UG-50000234-00149/15"</f>
        <v>UG-50000234-00149/15</v>
      </c>
      <c r="D622" s="15" t="str">
        <f t="shared" si="25"/>
        <v>INA INDUSTRIJA NAFTE D.D.</v>
      </c>
      <c r="E622" s="16">
        <v>42025</v>
      </c>
      <c r="F622" s="16">
        <v>42369</v>
      </c>
      <c r="G622" s="13">
        <v>3860.16</v>
      </c>
      <c r="H622" s="16">
        <v>42369</v>
      </c>
      <c r="I622" s="13">
        <v>2558.14</v>
      </c>
      <c r="J622" s="13">
        <f t="shared" si="26"/>
        <v>3197.6749999999997</v>
      </c>
      <c r="K622" s="6"/>
    </row>
    <row r="623" spans="1:11" ht="24" x14ac:dyDescent="0.25">
      <c r="A623" s="3">
        <v>203</v>
      </c>
      <c r="B623" s="14" t="s">
        <v>316</v>
      </c>
      <c r="C623" s="15" t="str">
        <f>"UG-50000234-00303/15"</f>
        <v>UG-50000234-00303/15</v>
      </c>
      <c r="D623" s="15" t="str">
        <f t="shared" si="25"/>
        <v>INA INDUSTRIJA NAFTE D.D.</v>
      </c>
      <c r="E623" s="16">
        <v>42006</v>
      </c>
      <c r="F623" s="16">
        <v>42735</v>
      </c>
      <c r="G623" s="13">
        <v>41900.69</v>
      </c>
      <c r="H623" s="16">
        <v>42735</v>
      </c>
      <c r="I623" s="13">
        <v>21777.61</v>
      </c>
      <c r="J623" s="13">
        <f t="shared" si="26"/>
        <v>27222.012500000001</v>
      </c>
      <c r="K623" s="6"/>
    </row>
    <row r="624" spans="1:11" ht="24" x14ac:dyDescent="0.25">
      <c r="A624" s="3">
        <v>204</v>
      </c>
      <c r="B624" s="14" t="s">
        <v>185</v>
      </c>
      <c r="C624" s="15" t="str">
        <f>"UG-50000234-00301/15"</f>
        <v>UG-50000234-00301/15</v>
      </c>
      <c r="D624" s="15" t="str">
        <f t="shared" si="25"/>
        <v>INA INDUSTRIJA NAFTE D.D.</v>
      </c>
      <c r="E624" s="16">
        <v>42024</v>
      </c>
      <c r="F624" s="16">
        <v>42369</v>
      </c>
      <c r="G624" s="13">
        <v>22517.599999999999</v>
      </c>
      <c r="H624" s="16">
        <v>42369</v>
      </c>
      <c r="I624" s="13">
        <v>15874.38</v>
      </c>
      <c r="J624" s="13">
        <f t="shared" si="26"/>
        <v>19842.974999999999</v>
      </c>
      <c r="K624" s="6"/>
    </row>
    <row r="625" spans="1:11" ht="24" x14ac:dyDescent="0.25">
      <c r="A625" s="3">
        <v>205</v>
      </c>
      <c r="B625" s="14" t="s">
        <v>186</v>
      </c>
      <c r="C625" s="15" t="str">
        <f>"UG-50000234-00369/15"</f>
        <v>UG-50000234-00369/15</v>
      </c>
      <c r="D625" s="15" t="str">
        <f t="shared" si="25"/>
        <v>INA INDUSTRIJA NAFTE D.D.</v>
      </c>
      <c r="E625" s="16">
        <v>42005</v>
      </c>
      <c r="F625" s="16">
        <v>42369</v>
      </c>
      <c r="G625" s="13">
        <v>16986</v>
      </c>
      <c r="H625" s="16">
        <v>42369</v>
      </c>
      <c r="I625" s="13">
        <v>10755.38</v>
      </c>
      <c r="J625" s="13">
        <f t="shared" si="26"/>
        <v>13444.224999999999</v>
      </c>
      <c r="K625" s="6"/>
    </row>
    <row r="626" spans="1:11" ht="24" x14ac:dyDescent="0.25">
      <c r="A626" s="3">
        <v>206</v>
      </c>
      <c r="B626" s="14" t="s">
        <v>317</v>
      </c>
      <c r="C626" s="15" t="str">
        <f>"UG-50000234-00016/15"</f>
        <v>UG-50000234-00016/15</v>
      </c>
      <c r="D626" s="15" t="str">
        <f t="shared" si="25"/>
        <v>INA INDUSTRIJA NAFTE D.D.</v>
      </c>
      <c r="E626" s="16">
        <v>42004</v>
      </c>
      <c r="F626" s="16">
        <v>42720</v>
      </c>
      <c r="G626" s="13">
        <v>35764</v>
      </c>
      <c r="H626" s="16">
        <v>42720</v>
      </c>
      <c r="I626" s="13">
        <v>15708.26</v>
      </c>
      <c r="J626" s="13">
        <f t="shared" si="26"/>
        <v>19635.325000000001</v>
      </c>
      <c r="K626" s="6"/>
    </row>
    <row r="627" spans="1:11" ht="24" x14ac:dyDescent="0.25">
      <c r="A627" s="3">
        <v>207</v>
      </c>
      <c r="B627" s="14" t="s">
        <v>318</v>
      </c>
      <c r="C627" s="15" t="str">
        <f>"UG-50000234-00061/15"</f>
        <v>UG-50000234-00061/15</v>
      </c>
      <c r="D627" s="15" t="str">
        <f t="shared" si="25"/>
        <v>INA INDUSTRIJA NAFTE D.D.</v>
      </c>
      <c r="E627" s="16">
        <v>42013</v>
      </c>
      <c r="F627" s="16">
        <v>42369</v>
      </c>
      <c r="G627" s="13">
        <v>1982.16</v>
      </c>
      <c r="H627" s="16">
        <v>42369</v>
      </c>
      <c r="I627" s="13">
        <v>307.76</v>
      </c>
      <c r="J627" s="13">
        <f t="shared" si="26"/>
        <v>384.7</v>
      </c>
      <c r="K627" s="6"/>
    </row>
    <row r="628" spans="1:11" ht="24" x14ac:dyDescent="0.25">
      <c r="A628" s="3">
        <v>208</v>
      </c>
      <c r="B628" s="14" t="s">
        <v>319</v>
      </c>
      <c r="C628" s="15" t="str">
        <f>"17-SU-261/2014-2"</f>
        <v>17-SU-261/2014-2</v>
      </c>
      <c r="D628" s="15" t="str">
        <f t="shared" si="25"/>
        <v>INA INDUSTRIJA NAFTE D.D.</v>
      </c>
      <c r="E628" s="16">
        <v>42003</v>
      </c>
      <c r="F628" s="16">
        <v>42369</v>
      </c>
      <c r="G628" s="13">
        <v>9385.6</v>
      </c>
      <c r="H628" s="16">
        <v>42369</v>
      </c>
      <c r="I628" s="13">
        <v>12804.99</v>
      </c>
      <c r="J628" s="13">
        <f t="shared" si="26"/>
        <v>16006.237499999999</v>
      </c>
      <c r="K628" s="6"/>
    </row>
    <row r="629" spans="1:11" ht="24" x14ac:dyDescent="0.25">
      <c r="A629" s="3">
        <v>209</v>
      </c>
      <c r="B629" s="14" t="s">
        <v>320</v>
      </c>
      <c r="C629" s="15" t="str">
        <f>"UG-50000234-00136/15"</f>
        <v>UG-50000234-00136/15</v>
      </c>
      <c r="D629" s="15" t="str">
        <f t="shared" si="25"/>
        <v>INA INDUSTRIJA NAFTE D.D.</v>
      </c>
      <c r="E629" s="16">
        <v>42023</v>
      </c>
      <c r="F629" s="16">
        <v>42369</v>
      </c>
      <c r="G629" s="13">
        <v>6220.03</v>
      </c>
      <c r="H629" s="16">
        <v>42369</v>
      </c>
      <c r="I629" s="13">
        <v>1837.77</v>
      </c>
      <c r="J629" s="13">
        <f t="shared" si="26"/>
        <v>2297.2125000000001</v>
      </c>
      <c r="K629" s="6"/>
    </row>
    <row r="630" spans="1:11" ht="24" x14ac:dyDescent="0.25">
      <c r="A630" s="3">
        <v>210</v>
      </c>
      <c r="B630" s="14" t="s">
        <v>321</v>
      </c>
      <c r="C630" s="15" t="str">
        <f>"UG-50000234-00042/15"</f>
        <v>UG-50000234-00042/15</v>
      </c>
      <c r="D630" s="15" t="str">
        <f t="shared" si="25"/>
        <v>INA INDUSTRIJA NAFTE D.D.</v>
      </c>
      <c r="E630" s="16">
        <v>42012</v>
      </c>
      <c r="F630" s="16">
        <v>42369</v>
      </c>
      <c r="G630" s="13">
        <v>1321.44</v>
      </c>
      <c r="H630" s="16">
        <v>42369</v>
      </c>
      <c r="I630" s="13">
        <v>0</v>
      </c>
      <c r="J630" s="13">
        <f t="shared" si="26"/>
        <v>0</v>
      </c>
      <c r="K630" s="6"/>
    </row>
    <row r="631" spans="1:11" ht="24" x14ac:dyDescent="0.25">
      <c r="A631" s="3">
        <v>211</v>
      </c>
      <c r="B631" s="14" t="s">
        <v>322</v>
      </c>
      <c r="C631" s="15" t="str">
        <f>"UG-50000234-00321/15"</f>
        <v>UG-50000234-00321/15</v>
      </c>
      <c r="D631" s="15" t="str">
        <f t="shared" si="25"/>
        <v>INA INDUSTRIJA NAFTE D.D.</v>
      </c>
      <c r="E631" s="16">
        <v>42026</v>
      </c>
      <c r="F631" s="16">
        <v>42369</v>
      </c>
      <c r="G631" s="13">
        <v>7716.8</v>
      </c>
      <c r="H631" s="16">
        <v>42369</v>
      </c>
      <c r="I631" s="13">
        <v>7716</v>
      </c>
      <c r="J631" s="13">
        <f t="shared" si="26"/>
        <v>9645</v>
      </c>
      <c r="K631" s="6"/>
    </row>
    <row r="632" spans="1:11" ht="24" x14ac:dyDescent="0.25">
      <c r="A632" s="3">
        <v>212</v>
      </c>
      <c r="B632" s="14" t="s">
        <v>323</v>
      </c>
      <c r="C632" s="15" t="str">
        <f>"UG-50000234-00315/15"</f>
        <v>UG-50000234-00315/15</v>
      </c>
      <c r="D632" s="15" t="str">
        <f t="shared" si="25"/>
        <v>INA INDUSTRIJA NAFTE D.D.</v>
      </c>
      <c r="E632" s="16">
        <v>42024</v>
      </c>
      <c r="F632" s="16">
        <v>42369</v>
      </c>
      <c r="G632" s="13">
        <v>3860.16</v>
      </c>
      <c r="H632" s="16">
        <v>42369</v>
      </c>
      <c r="I632" s="13">
        <v>2303</v>
      </c>
      <c r="J632" s="13">
        <f t="shared" si="26"/>
        <v>2878.75</v>
      </c>
      <c r="K632" s="6"/>
    </row>
    <row r="633" spans="1:11" ht="24" x14ac:dyDescent="0.25">
      <c r="A633" s="3">
        <v>213</v>
      </c>
      <c r="B633" s="14" t="s">
        <v>324</v>
      </c>
      <c r="C633" s="15" t="str">
        <f>"UG-50000234-00317/15"</f>
        <v>UG-50000234-00317/15</v>
      </c>
      <c r="D633" s="15" t="str">
        <f t="shared" si="25"/>
        <v>INA INDUSTRIJA NAFTE D.D.</v>
      </c>
      <c r="E633" s="16">
        <v>42030</v>
      </c>
      <c r="F633" s="16">
        <v>42369</v>
      </c>
      <c r="G633" s="13">
        <v>11676.32</v>
      </c>
      <c r="H633" s="16">
        <v>42369</v>
      </c>
      <c r="I633" s="13">
        <v>9701.91</v>
      </c>
      <c r="J633" s="13">
        <f t="shared" si="26"/>
        <v>12127.387500000001</v>
      </c>
      <c r="K633" s="6"/>
    </row>
    <row r="634" spans="1:11" ht="24" x14ac:dyDescent="0.25">
      <c r="A634" s="3">
        <v>214</v>
      </c>
      <c r="B634" s="14" t="s">
        <v>325</v>
      </c>
      <c r="C634" s="15" t="str">
        <f>"UG-50000234-00280/15"</f>
        <v>UG-50000234-00280/15</v>
      </c>
      <c r="D634" s="15" t="str">
        <f t="shared" si="25"/>
        <v>INA INDUSTRIJA NAFTE D.D.</v>
      </c>
      <c r="E634" s="16">
        <v>42019</v>
      </c>
      <c r="F634" s="16">
        <v>42369</v>
      </c>
      <c r="G634" s="13">
        <v>25698.400000000001</v>
      </c>
      <c r="H634" s="16">
        <v>42369</v>
      </c>
      <c r="I634" s="13">
        <v>19294.2</v>
      </c>
      <c r="J634" s="13">
        <f t="shared" si="26"/>
        <v>24117.75</v>
      </c>
      <c r="K634" s="6"/>
    </row>
    <row r="635" spans="1:11" ht="24" x14ac:dyDescent="0.25">
      <c r="A635" s="3">
        <v>215</v>
      </c>
      <c r="B635" s="14" t="s">
        <v>326</v>
      </c>
      <c r="C635" s="15" t="str">
        <f>"UG-50000234-00224/15"</f>
        <v>UG-50000234-00224/15</v>
      </c>
      <c r="D635" s="15" t="str">
        <f t="shared" si="25"/>
        <v>INA INDUSTRIJA NAFTE D.D.</v>
      </c>
      <c r="E635" s="16">
        <v>42030</v>
      </c>
      <c r="F635" s="16">
        <v>42369</v>
      </c>
      <c r="G635" s="13">
        <v>16084</v>
      </c>
      <c r="H635" s="16">
        <v>42369</v>
      </c>
      <c r="I635" s="13">
        <v>14040.92</v>
      </c>
      <c r="J635" s="13">
        <f t="shared" si="26"/>
        <v>17551.150000000001</v>
      </c>
      <c r="K635" s="6"/>
    </row>
    <row r="636" spans="1:11" ht="24" x14ac:dyDescent="0.25">
      <c r="A636" s="3">
        <v>216</v>
      </c>
      <c r="B636" s="14" t="s">
        <v>327</v>
      </c>
      <c r="C636" s="15" t="str">
        <f>"UG-50000234-00375/15"</f>
        <v>UG-50000234-00375/15</v>
      </c>
      <c r="D636" s="15" t="str">
        <f t="shared" si="25"/>
        <v>INA INDUSTRIJA NAFTE D.D.</v>
      </c>
      <c r="E636" s="16">
        <v>42027</v>
      </c>
      <c r="F636" s="16">
        <v>42369</v>
      </c>
      <c r="G636" s="13">
        <v>14153.92</v>
      </c>
      <c r="H636" s="16">
        <v>42369</v>
      </c>
      <c r="I636" s="13">
        <v>13528.96</v>
      </c>
      <c r="J636" s="13">
        <f t="shared" si="26"/>
        <v>16911.199999999997</v>
      </c>
      <c r="K636" s="6"/>
    </row>
    <row r="637" spans="1:11" ht="36" x14ac:dyDescent="0.25">
      <c r="A637" s="3">
        <v>217</v>
      </c>
      <c r="B637" s="14" t="s">
        <v>328</v>
      </c>
      <c r="C637" s="15" t="str">
        <f>"UG-50000234-00240/15"</f>
        <v>UG-50000234-00240/15</v>
      </c>
      <c r="D637" s="15" t="str">
        <f t="shared" si="25"/>
        <v>INA INDUSTRIJA NAFTE D.D.</v>
      </c>
      <c r="E637" s="16">
        <v>42023</v>
      </c>
      <c r="F637" s="16">
        <v>42369</v>
      </c>
      <c r="G637" s="13">
        <v>14465.36</v>
      </c>
      <c r="H637" s="16">
        <v>42369</v>
      </c>
      <c r="I637" s="13">
        <v>10608.97</v>
      </c>
      <c r="J637" s="13">
        <f t="shared" si="26"/>
        <v>13261.2125</v>
      </c>
      <c r="K637" s="6"/>
    </row>
    <row r="638" spans="1:11" ht="24" x14ac:dyDescent="0.25">
      <c r="A638" s="3">
        <v>218</v>
      </c>
      <c r="B638" s="14" t="s">
        <v>329</v>
      </c>
      <c r="C638" s="15" t="str">
        <f>"UG-50000234-00071/15"</f>
        <v>UG-50000234-00071/15</v>
      </c>
      <c r="D638" s="15" t="str">
        <f t="shared" si="25"/>
        <v>INA INDUSTRIJA NAFTE D.D.</v>
      </c>
      <c r="E638" s="16">
        <v>42016</v>
      </c>
      <c r="F638" s="16">
        <v>42722</v>
      </c>
      <c r="G638" s="13">
        <v>42403.199999999997</v>
      </c>
      <c r="H638" s="16">
        <v>42722</v>
      </c>
      <c r="I638" s="13">
        <v>21686.53</v>
      </c>
      <c r="J638" s="13">
        <f t="shared" si="26"/>
        <v>27108.162499999999</v>
      </c>
      <c r="K638" s="6"/>
    </row>
    <row r="639" spans="1:11" ht="24" x14ac:dyDescent="0.25">
      <c r="A639" s="3">
        <v>219</v>
      </c>
      <c r="B639" s="14" t="s">
        <v>330</v>
      </c>
      <c r="C639" s="15" t="str">
        <f>"UG-00409/15"</f>
        <v>UG-00409/15</v>
      </c>
      <c r="D639" s="15" t="str">
        <f t="shared" si="25"/>
        <v>INA INDUSTRIJA NAFTE D.D.</v>
      </c>
      <c r="E639" s="16">
        <v>42040</v>
      </c>
      <c r="F639" s="16">
        <v>42369</v>
      </c>
      <c r="G639" s="13">
        <v>11655.2</v>
      </c>
      <c r="H639" s="16">
        <v>42369</v>
      </c>
      <c r="I639" s="13">
        <v>8568.19</v>
      </c>
      <c r="J639" s="13">
        <f t="shared" si="26"/>
        <v>10710.237500000001</v>
      </c>
      <c r="K639" s="6"/>
    </row>
    <row r="640" spans="1:11" ht="24" x14ac:dyDescent="0.25">
      <c r="A640" s="3">
        <v>220</v>
      </c>
      <c r="B640" s="14" t="s">
        <v>331</v>
      </c>
      <c r="C640" s="15" t="str">
        <f>"UG-50000234-00079/15"</f>
        <v>UG-50000234-00079/15</v>
      </c>
      <c r="D640" s="15" t="str">
        <f t="shared" si="25"/>
        <v>INA INDUSTRIJA NAFTE D.D.</v>
      </c>
      <c r="E640" s="16">
        <v>42013</v>
      </c>
      <c r="F640" s="16">
        <v>42722</v>
      </c>
      <c r="G640" s="13">
        <v>18612</v>
      </c>
      <c r="H640" s="16">
        <v>42722</v>
      </c>
      <c r="I640" s="13">
        <v>14476.76</v>
      </c>
      <c r="J640" s="13">
        <f t="shared" si="26"/>
        <v>18095.95</v>
      </c>
      <c r="K640" s="6"/>
    </row>
    <row r="641" spans="1:11" ht="24" x14ac:dyDescent="0.25">
      <c r="A641" s="3">
        <v>221</v>
      </c>
      <c r="B641" s="14" t="s">
        <v>332</v>
      </c>
      <c r="C641" s="15" t="str">
        <f>"UG-50000234-00134/15"</f>
        <v>UG-50000234-00134/15</v>
      </c>
      <c r="D641" s="15" t="str">
        <f t="shared" si="25"/>
        <v>INA INDUSTRIJA NAFTE D.D.</v>
      </c>
      <c r="E641" s="16">
        <v>42026</v>
      </c>
      <c r="F641" s="16">
        <v>42369</v>
      </c>
      <c r="G641" s="13">
        <v>9650.4</v>
      </c>
      <c r="H641" s="16">
        <v>42369</v>
      </c>
      <c r="I641" s="13">
        <v>6217.62</v>
      </c>
      <c r="J641" s="13">
        <f t="shared" si="26"/>
        <v>7772.0249999999996</v>
      </c>
      <c r="K641" s="6"/>
    </row>
    <row r="642" spans="1:11" ht="24" x14ac:dyDescent="0.25">
      <c r="A642" s="3">
        <v>222</v>
      </c>
      <c r="B642" s="14" t="s">
        <v>333</v>
      </c>
      <c r="C642" s="15" t="str">
        <f>"UG-50000234-00200/15"</f>
        <v>UG-50000234-00200/15</v>
      </c>
      <c r="D642" s="15" t="str">
        <f t="shared" si="25"/>
        <v>INA INDUSTRIJA NAFTE D.D.</v>
      </c>
      <c r="E642" s="16">
        <v>42046</v>
      </c>
      <c r="F642" s="16">
        <v>42369</v>
      </c>
      <c r="G642" s="13">
        <v>6513.6</v>
      </c>
      <c r="H642" s="16">
        <v>42369</v>
      </c>
      <c r="I642" s="13">
        <v>8359.7199999999993</v>
      </c>
      <c r="J642" s="13">
        <f t="shared" si="26"/>
        <v>10449.65</v>
      </c>
      <c r="K642" s="6"/>
    </row>
    <row r="643" spans="1:11" ht="24" x14ac:dyDescent="0.25">
      <c r="A643" s="3">
        <v>223</v>
      </c>
      <c r="B643" s="14" t="s">
        <v>334</v>
      </c>
      <c r="C643" s="15" t="str">
        <f>"UG-50000234-00095/15"</f>
        <v>UG-50000234-00095/15</v>
      </c>
      <c r="D643" s="15" t="str">
        <f t="shared" si="25"/>
        <v>INA INDUSTRIJA NAFTE D.D.</v>
      </c>
      <c r="E643" s="16">
        <v>42017</v>
      </c>
      <c r="F643" s="16">
        <v>42369</v>
      </c>
      <c r="G643" s="13">
        <v>14166.88</v>
      </c>
      <c r="H643" s="16">
        <v>42369</v>
      </c>
      <c r="I643" s="13">
        <v>0</v>
      </c>
      <c r="J643" s="13">
        <f t="shared" si="26"/>
        <v>0</v>
      </c>
      <c r="K643" s="6"/>
    </row>
    <row r="644" spans="1:11" ht="24" x14ac:dyDescent="0.25">
      <c r="A644" s="3">
        <v>224</v>
      </c>
      <c r="B644" s="14" t="s">
        <v>383</v>
      </c>
      <c r="C644" s="15" t="str">
        <f>"UG-50000234-00158/15"</f>
        <v>UG-50000234-00158/15</v>
      </c>
      <c r="D644" s="15" t="str">
        <f t="shared" si="25"/>
        <v>INA INDUSTRIJA NAFTE D.D.</v>
      </c>
      <c r="E644" s="16">
        <v>42020</v>
      </c>
      <c r="F644" s="16">
        <v>42369</v>
      </c>
      <c r="G644" s="13">
        <v>12958.4</v>
      </c>
      <c r="H644" s="16">
        <v>42369</v>
      </c>
      <c r="I644" s="13">
        <v>6848.68</v>
      </c>
      <c r="J644" s="13">
        <f t="shared" si="26"/>
        <v>8560.85</v>
      </c>
      <c r="K644" s="6"/>
    </row>
    <row r="645" spans="1:11" ht="24" x14ac:dyDescent="0.25">
      <c r="A645" s="3">
        <v>225</v>
      </c>
      <c r="B645" s="14" t="s">
        <v>335</v>
      </c>
      <c r="C645" s="15" t="str">
        <f>"UG-50000234-00326/15"</f>
        <v>UG-50000234-00326/15</v>
      </c>
      <c r="D645" s="15" t="str">
        <f t="shared" si="25"/>
        <v>INA INDUSTRIJA NAFTE D.D.</v>
      </c>
      <c r="E645" s="16">
        <v>42026</v>
      </c>
      <c r="F645" s="16">
        <v>42369</v>
      </c>
      <c r="G645" s="13">
        <v>2968</v>
      </c>
      <c r="H645" s="16">
        <v>42369</v>
      </c>
      <c r="I645" s="13">
        <v>13900</v>
      </c>
      <c r="J645" s="13">
        <f t="shared" si="26"/>
        <v>17375</v>
      </c>
      <c r="K645" s="6"/>
    </row>
    <row r="646" spans="1:11" ht="24" x14ac:dyDescent="0.25">
      <c r="A646" s="3">
        <v>226</v>
      </c>
      <c r="B646" s="14" t="s">
        <v>336</v>
      </c>
      <c r="C646" s="15" t="str">
        <f>"UG-50000234-00278/15"</f>
        <v>UG-50000234-00278/15</v>
      </c>
      <c r="D646" s="15" t="str">
        <f t="shared" si="25"/>
        <v>INA INDUSTRIJA NAFTE D.D.</v>
      </c>
      <c r="E646" s="16">
        <v>42019</v>
      </c>
      <c r="F646" s="16">
        <v>42722</v>
      </c>
      <c r="G646" s="13">
        <v>12958.4</v>
      </c>
      <c r="H646" s="16">
        <v>42722</v>
      </c>
      <c r="I646" s="13">
        <v>13354.67</v>
      </c>
      <c r="J646" s="13">
        <f t="shared" si="26"/>
        <v>16693.337500000001</v>
      </c>
      <c r="K646" s="6"/>
    </row>
    <row r="647" spans="1:11" ht="24" x14ac:dyDescent="0.25">
      <c r="A647" s="3">
        <v>227</v>
      </c>
      <c r="B647" s="14" t="s">
        <v>337</v>
      </c>
      <c r="C647" s="15" t="str">
        <f>"UG-50000234-00222/15"</f>
        <v>UG-50000234-00222/15</v>
      </c>
      <c r="D647" s="15" t="str">
        <f t="shared" si="25"/>
        <v>INA INDUSTRIJA NAFTE D.D.</v>
      </c>
      <c r="E647" s="16">
        <v>42024</v>
      </c>
      <c r="F647" s="16">
        <v>42735</v>
      </c>
      <c r="G647" s="13">
        <v>24447.68</v>
      </c>
      <c r="H647" s="16">
        <v>42735</v>
      </c>
      <c r="I647" s="13">
        <v>10605.43</v>
      </c>
      <c r="J647" s="13">
        <f t="shared" si="26"/>
        <v>13256.7875</v>
      </c>
      <c r="K647" s="6"/>
    </row>
    <row r="648" spans="1:11" ht="24" x14ac:dyDescent="0.25">
      <c r="A648" s="3">
        <v>228</v>
      </c>
      <c r="B648" s="14" t="s">
        <v>168</v>
      </c>
      <c r="C648" s="15" t="str">
        <f>"UG-50000234-00358/15"</f>
        <v>UG-50000234-00358/15</v>
      </c>
      <c r="D648" s="15" t="str">
        <f t="shared" si="25"/>
        <v>INA INDUSTRIJA NAFTE D.D.</v>
      </c>
      <c r="E648" s="16">
        <v>42027</v>
      </c>
      <c r="F648" s="16">
        <v>42722</v>
      </c>
      <c r="G648" s="13">
        <v>32168</v>
      </c>
      <c r="H648" s="16">
        <v>42722</v>
      </c>
      <c r="I648" s="13">
        <v>0</v>
      </c>
      <c r="J648" s="13">
        <f t="shared" si="26"/>
        <v>0</v>
      </c>
      <c r="K648" s="6"/>
    </row>
    <row r="649" spans="1:11" ht="24" x14ac:dyDescent="0.25">
      <c r="A649" s="3">
        <v>229</v>
      </c>
      <c r="B649" s="14" t="s">
        <v>227</v>
      </c>
      <c r="C649" s="15" t="str">
        <f>"UG-50000234-00189/15"</f>
        <v>UG-50000234-00189/15</v>
      </c>
      <c r="D649" s="15" t="str">
        <f t="shared" si="25"/>
        <v>INA INDUSTRIJA NAFTE D.D.</v>
      </c>
      <c r="E649" s="16">
        <v>42020</v>
      </c>
      <c r="F649" s="16">
        <v>42369</v>
      </c>
      <c r="G649" s="13">
        <v>1943.76</v>
      </c>
      <c r="H649" s="16">
        <v>42369</v>
      </c>
      <c r="I649" s="13">
        <v>9708.91</v>
      </c>
      <c r="J649" s="13">
        <f t="shared" si="26"/>
        <v>12136.137500000001</v>
      </c>
      <c r="K649" s="6"/>
    </row>
    <row r="650" spans="1:11" ht="24" x14ac:dyDescent="0.25">
      <c r="A650" s="3">
        <v>230</v>
      </c>
      <c r="B650" s="14" t="s">
        <v>338</v>
      </c>
      <c r="C650" s="15" t="str">
        <f>"UG-50000234-00232/15"</f>
        <v>UG-50000234-00232/15</v>
      </c>
      <c r="D650" s="15" t="str">
        <f t="shared" si="25"/>
        <v>INA INDUSTRIJA NAFTE D.D.</v>
      </c>
      <c r="E650" s="16">
        <v>42027</v>
      </c>
      <c r="F650" s="16">
        <v>42369</v>
      </c>
      <c r="G650" s="13">
        <v>41658.559999999998</v>
      </c>
      <c r="H650" s="16">
        <v>42369</v>
      </c>
      <c r="I650" s="13">
        <v>33914.080000000002</v>
      </c>
      <c r="J650" s="13">
        <f t="shared" si="26"/>
        <v>42392.600000000006</v>
      </c>
      <c r="K650" s="6"/>
    </row>
    <row r="651" spans="1:11" ht="24" x14ac:dyDescent="0.25">
      <c r="A651" s="3">
        <v>231</v>
      </c>
      <c r="B651" s="14" t="s">
        <v>171</v>
      </c>
      <c r="C651" s="15" t="str">
        <f>"UG-50000234-00295/15"</f>
        <v>UG-50000234-00295/15</v>
      </c>
      <c r="D651" s="15" t="str">
        <f t="shared" si="25"/>
        <v>INA INDUSTRIJA NAFTE D.D.</v>
      </c>
      <c r="E651" s="16">
        <v>42023</v>
      </c>
      <c r="F651" s="16">
        <v>42369</v>
      </c>
      <c r="G651" s="13">
        <v>5426.88</v>
      </c>
      <c r="H651" s="16">
        <v>42369</v>
      </c>
      <c r="I651" s="13">
        <v>9229.4500000000007</v>
      </c>
      <c r="J651" s="13">
        <f t="shared" si="26"/>
        <v>11536.8125</v>
      </c>
      <c r="K651" s="6"/>
    </row>
    <row r="652" spans="1:11" ht="24" x14ac:dyDescent="0.25">
      <c r="A652" s="3">
        <v>232</v>
      </c>
      <c r="B652" s="14" t="s">
        <v>339</v>
      </c>
      <c r="C652" s="15" t="str">
        <f>"UG-50000234-00343/15"</f>
        <v>UG-50000234-00343/15</v>
      </c>
      <c r="D652" s="15" t="str">
        <f t="shared" si="25"/>
        <v>INA INDUSTRIJA NAFTE D.D.</v>
      </c>
      <c r="E652" s="16">
        <v>42027</v>
      </c>
      <c r="F652" s="16">
        <v>42369</v>
      </c>
      <c r="G652" s="13">
        <v>3860.16</v>
      </c>
      <c r="H652" s="16">
        <v>42369</v>
      </c>
      <c r="I652" s="13">
        <v>4023.2</v>
      </c>
      <c r="J652" s="13">
        <f t="shared" si="26"/>
        <v>5029</v>
      </c>
      <c r="K652" s="6"/>
    </row>
    <row r="653" spans="1:11" ht="24" x14ac:dyDescent="0.25">
      <c r="A653" s="3">
        <v>233</v>
      </c>
      <c r="B653" s="14" t="s">
        <v>340</v>
      </c>
      <c r="C653" s="15" t="str">
        <f>"UG-50000234-00121/15"</f>
        <v>UG-50000234-00121/15</v>
      </c>
      <c r="D653" s="15" t="str">
        <f t="shared" si="25"/>
        <v>INA INDUSTRIJA NAFTE D.D.</v>
      </c>
      <c r="E653" s="16">
        <v>42023</v>
      </c>
      <c r="F653" s="16">
        <v>42369</v>
      </c>
      <c r="G653" s="13">
        <v>2416.96</v>
      </c>
      <c r="H653" s="16">
        <v>42369</v>
      </c>
      <c r="I653" s="13">
        <v>2656.63</v>
      </c>
      <c r="J653" s="13">
        <f t="shared" si="26"/>
        <v>3320.7875000000004</v>
      </c>
      <c r="K653" s="6"/>
    </row>
    <row r="654" spans="1:11" ht="24" x14ac:dyDescent="0.25">
      <c r="A654" s="3">
        <v>234</v>
      </c>
      <c r="B654" s="14" t="s">
        <v>341</v>
      </c>
      <c r="C654" s="15" t="str">
        <f>"UG-50000234-00284/15"</f>
        <v>UG-50000234-00284/15</v>
      </c>
      <c r="D654" s="15" t="str">
        <f t="shared" si="25"/>
        <v>INA INDUSTRIJA NAFTE D.D.</v>
      </c>
      <c r="E654" s="16">
        <v>42023</v>
      </c>
      <c r="F654" s="16">
        <v>42369</v>
      </c>
      <c r="G654" s="13">
        <v>13126.4</v>
      </c>
      <c r="H654" s="16">
        <v>42369</v>
      </c>
      <c r="I654" s="13">
        <v>3305.88</v>
      </c>
      <c r="J654" s="13">
        <f t="shared" si="26"/>
        <v>4132.3500000000004</v>
      </c>
      <c r="K654" s="6"/>
    </row>
    <row r="655" spans="1:11" ht="24" x14ac:dyDescent="0.25">
      <c r="A655" s="3">
        <v>235</v>
      </c>
      <c r="B655" s="14" t="s">
        <v>342</v>
      </c>
      <c r="C655" s="15" t="str">
        <f>"UG-50000234-00319/15"</f>
        <v>UG-50000234-00319/15</v>
      </c>
      <c r="D655" s="15" t="str">
        <f t="shared" si="25"/>
        <v>INA INDUSTRIJA NAFTE D.D.</v>
      </c>
      <c r="E655" s="16">
        <v>42030</v>
      </c>
      <c r="F655" s="16">
        <v>42369</v>
      </c>
      <c r="G655" s="13">
        <v>2830.78</v>
      </c>
      <c r="H655" s="16">
        <v>42369</v>
      </c>
      <c r="I655" s="13">
        <v>3637</v>
      </c>
      <c r="J655" s="13">
        <f t="shared" si="26"/>
        <v>4546.25</v>
      </c>
      <c r="K655" s="6"/>
    </row>
    <row r="656" spans="1:11" ht="24" x14ac:dyDescent="0.25">
      <c r="A656" s="3">
        <v>236</v>
      </c>
      <c r="B656" s="14" t="s">
        <v>343</v>
      </c>
      <c r="C656" s="15" t="str">
        <f>"UG-50000234-00044/15"</f>
        <v>UG-50000234-00044/15</v>
      </c>
      <c r="D656" s="15" t="str">
        <f t="shared" si="25"/>
        <v>INA INDUSTRIJA NAFTE D.D.</v>
      </c>
      <c r="E656" s="16">
        <v>42012</v>
      </c>
      <c r="F656" s="16">
        <v>42369</v>
      </c>
      <c r="G656" s="13">
        <v>5285.76</v>
      </c>
      <c r="H656" s="16">
        <v>42369</v>
      </c>
      <c r="I656" s="13">
        <v>1296.8800000000001</v>
      </c>
      <c r="J656" s="13">
        <f t="shared" si="26"/>
        <v>1621.1000000000001</v>
      </c>
      <c r="K656" s="6"/>
    </row>
    <row r="657" spans="1:11" ht="24" x14ac:dyDescent="0.25">
      <c r="A657" s="3">
        <v>237</v>
      </c>
      <c r="B657" s="14" t="s">
        <v>344</v>
      </c>
      <c r="C657" s="15" t="str">
        <f>"UG-50000234-00282/15"</f>
        <v>UG-50000234-00282/15</v>
      </c>
      <c r="D657" s="15" t="str">
        <f t="shared" si="25"/>
        <v>INA INDUSTRIJA NAFTE D.D.</v>
      </c>
      <c r="E657" s="16">
        <v>42019</v>
      </c>
      <c r="F657" s="16">
        <v>42369</v>
      </c>
      <c r="G657" s="13">
        <v>9194.64</v>
      </c>
      <c r="H657" s="16">
        <v>42369</v>
      </c>
      <c r="I657" s="13">
        <v>6614.18</v>
      </c>
      <c r="J657" s="13">
        <f t="shared" si="26"/>
        <v>8267.7250000000004</v>
      </c>
      <c r="K657" s="6"/>
    </row>
    <row r="658" spans="1:11" ht="24" x14ac:dyDescent="0.25">
      <c r="A658" s="3">
        <v>238</v>
      </c>
      <c r="B658" s="14" t="s">
        <v>345</v>
      </c>
      <c r="C658" s="15" t="str">
        <f>"UG-50000234-00204/15"</f>
        <v>UG-50000234-00204/15</v>
      </c>
      <c r="D658" s="15" t="str">
        <f t="shared" si="25"/>
        <v>INA INDUSTRIJA NAFTE D.D.</v>
      </c>
      <c r="E658" s="16">
        <v>42011</v>
      </c>
      <c r="F658" s="16">
        <v>42722</v>
      </c>
      <c r="G658" s="13">
        <v>16518</v>
      </c>
      <c r="H658" s="16">
        <v>42722</v>
      </c>
      <c r="I658" s="13">
        <v>35445.480000000003</v>
      </c>
      <c r="J658" s="13">
        <f t="shared" si="26"/>
        <v>44306.850000000006</v>
      </c>
      <c r="K658" s="6"/>
    </row>
    <row r="659" spans="1:11" ht="24" x14ac:dyDescent="0.25">
      <c r="A659" s="3">
        <v>239</v>
      </c>
      <c r="B659" s="14" t="s">
        <v>346</v>
      </c>
      <c r="C659" s="15" t="str">
        <f>"UG-50000234-00181/15"</f>
        <v>UG-50000234-00181/15</v>
      </c>
      <c r="D659" s="15" t="str">
        <f t="shared" si="25"/>
        <v>INA INDUSTRIJA NAFTE D.D.</v>
      </c>
      <c r="E659" s="16">
        <v>42019</v>
      </c>
      <c r="F659" s="16">
        <v>42722</v>
      </c>
      <c r="G659" s="13">
        <v>29156.400000000001</v>
      </c>
      <c r="H659" s="16">
        <v>42722</v>
      </c>
      <c r="I659" s="13">
        <v>22822.32</v>
      </c>
      <c r="J659" s="13">
        <f t="shared" si="26"/>
        <v>28527.9</v>
      </c>
      <c r="K659" s="6"/>
    </row>
    <row r="660" spans="1:11" ht="24" x14ac:dyDescent="0.25">
      <c r="A660" s="3">
        <v>240</v>
      </c>
      <c r="B660" s="14" t="s">
        <v>347</v>
      </c>
      <c r="C660" s="15" t="str">
        <f>"UG-00470/15"</f>
        <v>UG-00470/15</v>
      </c>
      <c r="D660" s="15" t="str">
        <f t="shared" si="25"/>
        <v>INA INDUSTRIJA NAFTE D.D.</v>
      </c>
      <c r="E660" s="16">
        <v>42019</v>
      </c>
      <c r="F660" s="16">
        <v>42722</v>
      </c>
      <c r="G660" s="13">
        <v>12958.4</v>
      </c>
      <c r="H660" s="16">
        <v>42722</v>
      </c>
      <c r="I660" s="13">
        <v>5634.89</v>
      </c>
      <c r="J660" s="13">
        <f t="shared" si="26"/>
        <v>7043.6125000000002</v>
      </c>
      <c r="K660" s="6"/>
    </row>
    <row r="661" spans="1:11" ht="24" x14ac:dyDescent="0.25">
      <c r="A661" s="3">
        <v>241</v>
      </c>
      <c r="B661" s="14" t="s">
        <v>348</v>
      </c>
      <c r="C661" s="15" t="str">
        <f>"UG-50000234-00055/15"</f>
        <v>UG-50000234-00055/15</v>
      </c>
      <c r="D661" s="15" t="str">
        <f t="shared" si="25"/>
        <v>INA INDUSTRIJA NAFTE D.D.</v>
      </c>
      <c r="E661" s="16">
        <v>42017</v>
      </c>
      <c r="F661" s="16">
        <v>42369</v>
      </c>
      <c r="G661" s="13">
        <v>5183.3599999999997</v>
      </c>
      <c r="H661" s="16">
        <v>42369</v>
      </c>
      <c r="I661" s="13">
        <v>5161.07</v>
      </c>
      <c r="J661" s="13">
        <f t="shared" si="26"/>
        <v>6451.3374999999996</v>
      </c>
      <c r="K661" s="6"/>
    </row>
    <row r="662" spans="1:11" ht="24" x14ac:dyDescent="0.25">
      <c r="A662" s="3">
        <v>242</v>
      </c>
      <c r="B662" s="14" t="s">
        <v>349</v>
      </c>
      <c r="C662" s="15" t="str">
        <f>"UG-50000234-00297/15"</f>
        <v>UG-50000234-00297/15</v>
      </c>
      <c r="D662" s="15" t="str">
        <f t="shared" si="25"/>
        <v>INA INDUSTRIJA NAFTE D.D.</v>
      </c>
      <c r="E662" s="16">
        <v>42023</v>
      </c>
      <c r="F662" s="16">
        <v>42369</v>
      </c>
      <c r="G662" s="13">
        <v>3887.52</v>
      </c>
      <c r="H662" s="16">
        <v>42369</v>
      </c>
      <c r="I662" s="13">
        <v>7119.43</v>
      </c>
      <c r="J662" s="13">
        <f t="shared" si="26"/>
        <v>8899.2875000000004</v>
      </c>
      <c r="K662" s="6"/>
    </row>
    <row r="663" spans="1:11" ht="24" x14ac:dyDescent="0.25">
      <c r="A663" s="3">
        <v>243</v>
      </c>
      <c r="B663" s="14" t="s">
        <v>350</v>
      </c>
      <c r="C663" s="15" t="str">
        <f>"UG-50000234-00157/15"</f>
        <v>UG-50000234-00157/15</v>
      </c>
      <c r="D663" s="15" t="str">
        <f t="shared" si="25"/>
        <v>INA INDUSTRIJA NAFTE D.D.</v>
      </c>
      <c r="E663" s="16">
        <v>42026</v>
      </c>
      <c r="F663" s="16">
        <v>42369</v>
      </c>
      <c r="G663" s="13">
        <v>2251.7600000000002</v>
      </c>
      <c r="H663" s="16">
        <v>42369</v>
      </c>
      <c r="I663" s="13">
        <v>5149.5200000000004</v>
      </c>
      <c r="J663" s="13">
        <f t="shared" si="26"/>
        <v>6436.9000000000005</v>
      </c>
      <c r="K663" s="6"/>
    </row>
    <row r="664" spans="1:11" ht="24" x14ac:dyDescent="0.25">
      <c r="A664" s="3">
        <v>244</v>
      </c>
      <c r="B664" s="14" t="s">
        <v>351</v>
      </c>
      <c r="C664" s="15" t="str">
        <f>"UG-50000234-00230/15"</f>
        <v>UG-50000234-00230/15</v>
      </c>
      <c r="D664" s="15" t="str">
        <f t="shared" si="25"/>
        <v>INA INDUSTRIJA NAFTE D.D.</v>
      </c>
      <c r="E664" s="16">
        <v>42023</v>
      </c>
      <c r="F664" s="16">
        <v>42369</v>
      </c>
      <c r="G664" s="13">
        <v>9718.7999999999993</v>
      </c>
      <c r="H664" s="16">
        <v>42369</v>
      </c>
      <c r="I664" s="13">
        <v>7681.46</v>
      </c>
      <c r="J664" s="13">
        <f t="shared" si="26"/>
        <v>9601.8250000000007</v>
      </c>
      <c r="K664" s="6"/>
    </row>
    <row r="665" spans="1:11" ht="24" x14ac:dyDescent="0.25">
      <c r="A665" s="3">
        <v>245</v>
      </c>
      <c r="B665" s="14" t="s">
        <v>352</v>
      </c>
      <c r="C665" s="15" t="str">
        <f>"UG-50000234-00206/15"</f>
        <v>UG-50000234-00206/15</v>
      </c>
      <c r="D665" s="15" t="str">
        <f t="shared" si="25"/>
        <v>INA INDUSTRIJA NAFTE D.D.</v>
      </c>
      <c r="E665" s="16">
        <v>42026</v>
      </c>
      <c r="F665" s="16">
        <v>42369</v>
      </c>
      <c r="G665" s="13">
        <v>5146.88</v>
      </c>
      <c r="H665" s="16">
        <v>42369</v>
      </c>
      <c r="I665" s="13">
        <v>4511.1499999999996</v>
      </c>
      <c r="J665" s="13">
        <f t="shared" si="26"/>
        <v>5638.9375</v>
      </c>
      <c r="K665" s="6"/>
    </row>
    <row r="666" spans="1:11" ht="24" x14ac:dyDescent="0.25">
      <c r="A666" s="3">
        <v>246</v>
      </c>
      <c r="B666" s="14" t="s">
        <v>353</v>
      </c>
      <c r="C666" s="15" t="str">
        <f>"UG-50000234-00212/15"</f>
        <v>UG-50000234-00212/15</v>
      </c>
      <c r="D666" s="15" t="str">
        <f t="shared" si="25"/>
        <v>INA INDUSTRIJA NAFTE D.D.</v>
      </c>
      <c r="E666" s="16">
        <v>42020</v>
      </c>
      <c r="F666" s="16">
        <v>42369</v>
      </c>
      <c r="G666" s="13">
        <v>6479.2</v>
      </c>
      <c r="H666" s="16">
        <v>42369</v>
      </c>
      <c r="I666" s="40">
        <v>0</v>
      </c>
      <c r="J666" s="40">
        <f t="shared" si="26"/>
        <v>0</v>
      </c>
      <c r="K666" s="6"/>
    </row>
    <row r="667" spans="1:11" ht="36" x14ac:dyDescent="0.25">
      <c r="A667" s="3">
        <v>247</v>
      </c>
      <c r="B667" s="14" t="s">
        <v>384</v>
      </c>
      <c r="C667" s="15" t="str">
        <f>"UG-50000234-00074/15"</f>
        <v>UG-50000234-00074/15</v>
      </c>
      <c r="D667" s="15" t="str">
        <f t="shared" si="25"/>
        <v>INA INDUSTRIJA NAFTE D.D.</v>
      </c>
      <c r="E667" s="16">
        <v>42013</v>
      </c>
      <c r="F667" s="16">
        <v>42369</v>
      </c>
      <c r="G667" s="13">
        <v>1300</v>
      </c>
      <c r="H667" s="16">
        <v>42369</v>
      </c>
      <c r="I667" s="13">
        <v>0</v>
      </c>
      <c r="J667" s="13">
        <f t="shared" si="26"/>
        <v>0</v>
      </c>
      <c r="K667" s="6"/>
    </row>
    <row r="668" spans="1:11" ht="36" x14ac:dyDescent="0.25">
      <c r="A668" s="3">
        <v>248</v>
      </c>
      <c r="B668" s="14" t="s">
        <v>384</v>
      </c>
      <c r="C668" s="15" t="str">
        <f>"UG-50000234-00075/15"</f>
        <v>UG-50000234-00075/15</v>
      </c>
      <c r="D668" s="15" t="str">
        <f t="shared" si="25"/>
        <v>INA INDUSTRIJA NAFTE D.D.</v>
      </c>
      <c r="E668" s="16">
        <v>42013</v>
      </c>
      <c r="F668" s="16">
        <v>42369</v>
      </c>
      <c r="G668" s="13">
        <v>17700</v>
      </c>
      <c r="H668" s="16">
        <v>42369</v>
      </c>
      <c r="I668" s="13">
        <v>12270</v>
      </c>
      <c r="J668" s="13">
        <f t="shared" si="26"/>
        <v>15337.5</v>
      </c>
      <c r="K668" s="6"/>
    </row>
    <row r="669" spans="1:11" ht="24" x14ac:dyDescent="0.25">
      <c r="A669" s="3">
        <v>249</v>
      </c>
      <c r="B669" s="14" t="s">
        <v>54</v>
      </c>
      <c r="C669" s="15" t="str">
        <f>"4-2014-6-14/129-2"</f>
        <v>4-2014-6-14/129-2</v>
      </c>
      <c r="D669" s="15" t="str">
        <f t="shared" si="25"/>
        <v>INA INDUSTRIJA NAFTE D.D.</v>
      </c>
      <c r="E669" s="16">
        <v>42002</v>
      </c>
      <c r="F669" s="16">
        <v>42369</v>
      </c>
      <c r="G669" s="13">
        <v>30816</v>
      </c>
      <c r="H669" s="16">
        <v>42369</v>
      </c>
      <c r="I669" s="13">
        <v>5534.86</v>
      </c>
      <c r="J669" s="13">
        <f t="shared" si="26"/>
        <v>6918.5749999999998</v>
      </c>
      <c r="K669" s="6"/>
    </row>
    <row r="670" spans="1:11" ht="24" x14ac:dyDescent="0.25">
      <c r="A670" s="3">
        <v>250</v>
      </c>
      <c r="B670" s="14" t="s">
        <v>311</v>
      </c>
      <c r="C670" s="15" t="str">
        <f>"50000234-00246/15"</f>
        <v>50000234-00246/15</v>
      </c>
      <c r="D670" s="15" t="str">
        <f t="shared" si="25"/>
        <v>INA INDUSTRIJA NAFTE D.D.</v>
      </c>
      <c r="E670" s="16">
        <v>42030</v>
      </c>
      <c r="F670" s="16">
        <v>42369</v>
      </c>
      <c r="G670" s="13">
        <v>25642.62</v>
      </c>
      <c r="H670" s="16">
        <v>42369</v>
      </c>
      <c r="I670" s="13">
        <v>31642.62</v>
      </c>
      <c r="J670" s="13">
        <f t="shared" si="26"/>
        <v>39553.275000000001</v>
      </c>
      <c r="K670" s="6"/>
    </row>
    <row r="671" spans="1:11" ht="24" x14ac:dyDescent="0.25">
      <c r="A671" s="3">
        <v>251</v>
      </c>
      <c r="B671" s="14" t="s">
        <v>354</v>
      </c>
      <c r="C671" s="15" t="str">
        <f>"50000234-00155/15"</f>
        <v>50000234-00155/15</v>
      </c>
      <c r="D671" s="15" t="str">
        <f t="shared" si="25"/>
        <v>INA INDUSTRIJA NAFTE D.D.</v>
      </c>
      <c r="E671" s="16">
        <v>42020</v>
      </c>
      <c r="F671" s="16">
        <v>42369</v>
      </c>
      <c r="G671" s="13">
        <v>3021.2</v>
      </c>
      <c r="H671" s="16">
        <v>42369</v>
      </c>
      <c r="I671" s="13">
        <v>0</v>
      </c>
      <c r="J671" s="13">
        <f t="shared" si="26"/>
        <v>0</v>
      </c>
      <c r="K671" s="6"/>
    </row>
    <row r="672" spans="1:11" ht="24" x14ac:dyDescent="0.25">
      <c r="A672" s="3">
        <v>252</v>
      </c>
      <c r="B672" s="14" t="s">
        <v>70</v>
      </c>
      <c r="C672" s="15" t="str">
        <f>"UG-50000234-00379/15"</f>
        <v>UG-50000234-00379/15</v>
      </c>
      <c r="D672" s="15" t="str">
        <f t="shared" si="25"/>
        <v>INA INDUSTRIJA NAFTE D.D.</v>
      </c>
      <c r="E672" s="16">
        <v>42027</v>
      </c>
      <c r="F672" s="16">
        <v>42369</v>
      </c>
      <c r="G672" s="13">
        <v>87785</v>
      </c>
      <c r="H672" s="16">
        <v>42369</v>
      </c>
      <c r="I672" s="13">
        <v>30288.98</v>
      </c>
      <c r="J672" s="13">
        <f t="shared" si="26"/>
        <v>37861.224999999999</v>
      </c>
      <c r="K672" s="6"/>
    </row>
    <row r="673" spans="1:11" ht="24" x14ac:dyDescent="0.25">
      <c r="A673" s="3">
        <v>253</v>
      </c>
      <c r="B673" s="14" t="s">
        <v>238</v>
      </c>
      <c r="C673" s="15" t="str">
        <f>"50000234-00367/15"</f>
        <v>50000234-00367/15</v>
      </c>
      <c r="D673" s="15" t="str">
        <f t="shared" si="25"/>
        <v>INA INDUSTRIJA NAFTE D.D.</v>
      </c>
      <c r="E673" s="16">
        <v>42026</v>
      </c>
      <c r="F673" s="16">
        <v>42094</v>
      </c>
      <c r="G673" s="13">
        <v>15195.2</v>
      </c>
      <c r="H673" s="16">
        <v>42094</v>
      </c>
      <c r="I673" s="13">
        <v>440.05</v>
      </c>
      <c r="J673" s="13">
        <f t="shared" si="26"/>
        <v>550.0625</v>
      </c>
      <c r="K673" s="6"/>
    </row>
    <row r="674" spans="1:11" ht="24" x14ac:dyDescent="0.25">
      <c r="A674" s="3">
        <v>254</v>
      </c>
      <c r="B674" s="14" t="s">
        <v>74</v>
      </c>
      <c r="C674" s="15" t="str">
        <f>"00236/15"</f>
        <v>00236/15</v>
      </c>
      <c r="D674" s="15" t="str">
        <f t="shared" si="25"/>
        <v>INA INDUSTRIJA NAFTE D.D.</v>
      </c>
      <c r="E674" s="16">
        <v>42005</v>
      </c>
      <c r="F674" s="16">
        <v>42369</v>
      </c>
      <c r="G674" s="13">
        <v>83568</v>
      </c>
      <c r="H674" s="16">
        <v>42369</v>
      </c>
      <c r="I674" s="13">
        <v>74087.460000000006</v>
      </c>
      <c r="J674" s="13">
        <f t="shared" si="26"/>
        <v>92609.325000000012</v>
      </c>
      <c r="K674" s="6"/>
    </row>
    <row r="675" spans="1:11" ht="24" x14ac:dyDescent="0.25">
      <c r="A675" s="3">
        <v>255</v>
      </c>
      <c r="B675" s="14" t="s">
        <v>355</v>
      </c>
      <c r="C675" s="15" t="str">
        <f>"41 SU 324/2014-6"</f>
        <v>41 SU 324/2014-6</v>
      </c>
      <c r="D675" s="15" t="str">
        <f t="shared" ref="D675:D684" si="27">CONCATENATE("INA INDUSTRIJA NAFTE D.D.")</f>
        <v>INA INDUSTRIJA NAFTE D.D.</v>
      </c>
      <c r="E675" s="16">
        <v>42012</v>
      </c>
      <c r="F675" s="16">
        <v>42369</v>
      </c>
      <c r="G675" s="13">
        <v>21300</v>
      </c>
      <c r="H675" s="16">
        <v>42369</v>
      </c>
      <c r="I675" s="13">
        <v>21300</v>
      </c>
      <c r="J675" s="13">
        <f t="shared" si="26"/>
        <v>26625</v>
      </c>
      <c r="K675" s="6"/>
    </row>
    <row r="676" spans="1:11" ht="24" x14ac:dyDescent="0.25">
      <c r="A676" s="3">
        <v>256</v>
      </c>
      <c r="B676" s="14" t="s">
        <v>182</v>
      </c>
      <c r="C676" s="15" t="str">
        <f>"UG-50000234-00276/15"</f>
        <v>UG-50000234-00276/15</v>
      </c>
      <c r="D676" s="15" t="str">
        <f t="shared" si="27"/>
        <v>INA INDUSTRIJA NAFTE D.D.</v>
      </c>
      <c r="E676" s="16">
        <v>42027</v>
      </c>
      <c r="F676" s="16">
        <v>42722</v>
      </c>
      <c r="G676" s="13">
        <v>20854.599999999999</v>
      </c>
      <c r="H676" s="16">
        <v>42722</v>
      </c>
      <c r="I676" s="13">
        <v>2238.12</v>
      </c>
      <c r="J676" s="13">
        <f t="shared" ref="J676:J684" si="28">I676*1.25</f>
        <v>2797.6499999999996</v>
      </c>
      <c r="K676" s="6"/>
    </row>
    <row r="677" spans="1:11" ht="24" x14ac:dyDescent="0.25">
      <c r="A677" s="3">
        <v>257</v>
      </c>
      <c r="B677" s="14" t="s">
        <v>358</v>
      </c>
      <c r="C677" s="15" t="str">
        <f>"UG-50000234-00168/15"</f>
        <v>UG-50000234-00168/15</v>
      </c>
      <c r="D677" s="15" t="str">
        <f t="shared" si="27"/>
        <v>INA INDUSTRIJA NAFTE D.D.</v>
      </c>
      <c r="E677" s="16">
        <v>42019</v>
      </c>
      <c r="F677" s="16"/>
      <c r="G677" s="13">
        <v>0</v>
      </c>
      <c r="H677" s="16"/>
      <c r="I677" s="13">
        <v>1011.73</v>
      </c>
      <c r="J677" s="13">
        <f t="shared" si="28"/>
        <v>1264.6624999999999</v>
      </c>
      <c r="K677" s="6"/>
    </row>
    <row r="678" spans="1:11" ht="24" x14ac:dyDescent="0.25">
      <c r="A678" s="3">
        <v>258</v>
      </c>
      <c r="B678" s="14" t="s">
        <v>385</v>
      </c>
      <c r="C678" s="15" t="str">
        <f>"02-23-30-525/14"</f>
        <v>02-23-30-525/14</v>
      </c>
      <c r="D678" s="15" t="str">
        <f t="shared" si="27"/>
        <v>INA INDUSTRIJA NAFTE D.D.</v>
      </c>
      <c r="E678" s="16">
        <v>42027</v>
      </c>
      <c r="F678" s="16">
        <v>42369</v>
      </c>
      <c r="G678" s="13">
        <v>0</v>
      </c>
      <c r="H678" s="16">
        <v>42369</v>
      </c>
      <c r="I678" s="13">
        <v>1507.44</v>
      </c>
      <c r="J678" s="13">
        <f t="shared" si="28"/>
        <v>1884.3000000000002</v>
      </c>
      <c r="K678" s="6"/>
    </row>
    <row r="679" spans="1:11" ht="24" x14ac:dyDescent="0.25">
      <c r="A679" s="3">
        <v>259</v>
      </c>
      <c r="B679" s="14" t="s">
        <v>188</v>
      </c>
      <c r="C679" s="15" t="str">
        <f>"50000234-00151"</f>
        <v>50000234-00151</v>
      </c>
      <c r="D679" s="15" t="str">
        <f t="shared" si="27"/>
        <v>INA INDUSTRIJA NAFTE D.D.</v>
      </c>
      <c r="E679" s="16">
        <v>42030</v>
      </c>
      <c r="F679" s="16"/>
      <c r="G679" s="13">
        <v>414215.2</v>
      </c>
      <c r="H679" s="16"/>
      <c r="I679" s="13">
        <v>25719.279999999999</v>
      </c>
      <c r="J679" s="13">
        <f t="shared" si="28"/>
        <v>32149.1</v>
      </c>
      <c r="K679" s="6"/>
    </row>
    <row r="680" spans="1:11" ht="24" x14ac:dyDescent="0.25">
      <c r="A680" s="3">
        <v>260</v>
      </c>
      <c r="B680" s="14" t="s">
        <v>356</v>
      </c>
      <c r="C680" s="15" t="str">
        <f>"UG-00417/15"</f>
        <v>UG-00417/15</v>
      </c>
      <c r="D680" s="15" t="str">
        <f t="shared" si="27"/>
        <v>INA INDUSTRIJA NAFTE D.D.</v>
      </c>
      <c r="E680" s="16">
        <v>42040</v>
      </c>
      <c r="F680" s="16">
        <v>42369</v>
      </c>
      <c r="G680" s="13">
        <v>13236.41</v>
      </c>
      <c r="H680" s="16">
        <v>42369</v>
      </c>
      <c r="I680" s="13">
        <v>13236.41</v>
      </c>
      <c r="J680" s="13">
        <f t="shared" si="28"/>
        <v>16545.512500000001</v>
      </c>
      <c r="K680" s="6"/>
    </row>
    <row r="681" spans="1:11" ht="36" x14ac:dyDescent="0.25">
      <c r="A681" s="3">
        <v>261</v>
      </c>
      <c r="B681" s="14" t="s">
        <v>357</v>
      </c>
      <c r="C681" s="15" t="str">
        <f>"UG-50000234-00038/15"</f>
        <v>UG-50000234-00038/15</v>
      </c>
      <c r="D681" s="15" t="str">
        <f t="shared" si="27"/>
        <v>INA INDUSTRIJA NAFTE D.D.</v>
      </c>
      <c r="E681" s="16">
        <v>42011</v>
      </c>
      <c r="F681" s="16">
        <v>42369</v>
      </c>
      <c r="G681" s="13">
        <v>4653</v>
      </c>
      <c r="H681" s="16">
        <v>42369</v>
      </c>
      <c r="I681" s="13">
        <v>2265.91</v>
      </c>
      <c r="J681" s="13">
        <f t="shared" si="28"/>
        <v>2832.3874999999998</v>
      </c>
      <c r="K681" s="6"/>
    </row>
    <row r="682" spans="1:11" ht="24" x14ac:dyDescent="0.25">
      <c r="A682" s="3">
        <v>262</v>
      </c>
      <c r="B682" s="14" t="s">
        <v>386</v>
      </c>
      <c r="C682" s="15" t="str">
        <f>"UG50000234-00063/15"</f>
        <v>UG50000234-00063/15</v>
      </c>
      <c r="D682" s="15" t="str">
        <f t="shared" si="27"/>
        <v>INA INDUSTRIJA NAFTE D.D.</v>
      </c>
      <c r="E682" s="16">
        <v>42472</v>
      </c>
      <c r="F682" s="16">
        <v>42369</v>
      </c>
      <c r="G682" s="13">
        <v>9000</v>
      </c>
      <c r="H682" s="16">
        <v>42369</v>
      </c>
      <c r="I682" s="13">
        <v>590</v>
      </c>
      <c r="J682" s="13">
        <f t="shared" si="28"/>
        <v>737.5</v>
      </c>
      <c r="K682" s="6"/>
    </row>
    <row r="683" spans="1:11" ht="24" x14ac:dyDescent="0.25">
      <c r="A683" s="3">
        <v>263</v>
      </c>
      <c r="B683" s="14" t="s">
        <v>257</v>
      </c>
      <c r="C683" s="15" t="str">
        <f>"E-4-2014"</f>
        <v>E-4-2014</v>
      </c>
      <c r="D683" s="15" t="str">
        <f t="shared" si="27"/>
        <v>INA INDUSTRIJA NAFTE D.D.</v>
      </c>
      <c r="E683" s="16">
        <v>41992</v>
      </c>
      <c r="F683" s="16">
        <v>42723</v>
      </c>
      <c r="G683" s="13">
        <v>28000</v>
      </c>
      <c r="H683" s="16">
        <v>42723</v>
      </c>
      <c r="I683" s="13">
        <v>3412.21</v>
      </c>
      <c r="J683" s="13">
        <f t="shared" si="28"/>
        <v>4265.2624999999998</v>
      </c>
      <c r="K683" s="6"/>
    </row>
    <row r="684" spans="1:11" ht="36" x14ac:dyDescent="0.25">
      <c r="A684" s="3">
        <v>264</v>
      </c>
      <c r="B684" s="14" t="s">
        <v>228</v>
      </c>
      <c r="C684" s="15" t="str">
        <f>"UG-50000234-00317/15"</f>
        <v>UG-50000234-00317/15</v>
      </c>
      <c r="D684" s="15" t="str">
        <f t="shared" si="27"/>
        <v>INA INDUSTRIJA NAFTE D.D.</v>
      </c>
      <c r="E684" s="16">
        <v>42051</v>
      </c>
      <c r="F684" s="16">
        <v>42369</v>
      </c>
      <c r="G684" s="13">
        <v>33795</v>
      </c>
      <c r="H684" s="16">
        <v>42369</v>
      </c>
      <c r="I684" s="13">
        <v>23352</v>
      </c>
      <c r="J684" s="13">
        <f t="shared" si="28"/>
        <v>29190</v>
      </c>
      <c r="K684" s="6"/>
    </row>
    <row r="686" spans="1:11" x14ac:dyDescent="0.25">
      <c r="B686" s="41" t="s">
        <v>707</v>
      </c>
      <c r="C686" s="41"/>
      <c r="D686" s="41"/>
      <c r="E686" s="41"/>
      <c r="F686" s="41"/>
      <c r="G686" s="41"/>
      <c r="H686" s="41"/>
      <c r="I686" s="41"/>
      <c r="J686" s="41"/>
      <c r="K686" s="41"/>
    </row>
  </sheetData>
  <sheetProtection algorithmName="SHA-512" hashValue="AdBy5Ulu6/H9dPQ+XH4T1MOD+SefCfd0wZEL67ALZZSacVYx4EBBGzUbvoBv3FbseDshkFqkGlORhe4IN24zzQ==" saltValue="mNf3XOyycvlgOnOcxZMsIA==" spinCount="100000" sheet="1" objects="1" scenarios="1"/>
  <mergeCells count="14">
    <mergeCell ref="B686:K686"/>
    <mergeCell ref="A1:I1"/>
    <mergeCell ref="A6:K6"/>
    <mergeCell ref="A4:H4"/>
    <mergeCell ref="A110:H110"/>
    <mergeCell ref="A112:K112"/>
    <mergeCell ref="A417:H417"/>
    <mergeCell ref="A419:K419"/>
    <mergeCell ref="A170:K170"/>
    <mergeCell ref="A130:H130"/>
    <mergeCell ref="A132:K132"/>
    <mergeCell ref="A149:H149"/>
    <mergeCell ref="A151:K151"/>
    <mergeCell ref="A168:H168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C172 C31 C421" twoDigitTextYear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00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387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677</v>
      </c>
      <c r="C3" s="20" t="s">
        <v>390</v>
      </c>
      <c r="D3" s="3" t="s">
        <v>691</v>
      </c>
      <c r="E3" s="3" t="s">
        <v>24</v>
      </c>
      <c r="F3" s="21">
        <v>41586</v>
      </c>
      <c r="G3" s="3" t="s">
        <v>659</v>
      </c>
      <c r="H3" s="13">
        <v>109000000</v>
      </c>
      <c r="I3" s="13">
        <v>93087570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56891167.909999996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x14ac:dyDescent="0.25">
      <c r="A8" s="3">
        <v>1</v>
      </c>
      <c r="B8" s="14" t="s">
        <v>370</v>
      </c>
      <c r="C8" s="15" t="str">
        <f>"140164"</f>
        <v>140164</v>
      </c>
      <c r="D8" s="15" t="str">
        <f t="shared" ref="D8:D68" si="0">CONCATENATE("GEN-I ZAGREB D.O.O.")</f>
        <v>GEN-I ZAGREB D.O.O.</v>
      </c>
      <c r="E8" s="16">
        <v>41621</v>
      </c>
      <c r="F8" s="16"/>
      <c r="G8" s="13">
        <v>16258.21</v>
      </c>
      <c r="H8" s="16"/>
      <c r="I8" s="13">
        <v>2774.14</v>
      </c>
      <c r="J8" s="13">
        <f>I8*1.25</f>
        <v>3467.6749999999997</v>
      </c>
      <c r="K8" s="6"/>
    </row>
    <row r="9" spans="1:11" x14ac:dyDescent="0.25">
      <c r="A9" s="3">
        <v>2</v>
      </c>
      <c r="B9" s="14"/>
      <c r="C9" s="15" t="str">
        <f>"140108"</f>
        <v>140108</v>
      </c>
      <c r="D9" s="15" t="str">
        <f t="shared" si="0"/>
        <v>GEN-I ZAGREB D.O.O.</v>
      </c>
      <c r="E9" s="16">
        <v>41609</v>
      </c>
      <c r="F9" s="16"/>
      <c r="G9" s="13">
        <v>23280</v>
      </c>
      <c r="H9" s="16"/>
      <c r="I9" s="13">
        <v>23280</v>
      </c>
      <c r="J9" s="13">
        <f t="shared" ref="J9:J69" si="1">I9*1.25</f>
        <v>29100</v>
      </c>
      <c r="K9" s="6"/>
    </row>
    <row r="10" spans="1:11" x14ac:dyDescent="0.25">
      <c r="A10" s="3">
        <v>3</v>
      </c>
      <c r="B10" s="14" t="s">
        <v>229</v>
      </c>
      <c r="C10" s="15" t="str">
        <f>"140158"</f>
        <v>140158</v>
      </c>
      <c r="D10" s="15" t="str">
        <f t="shared" si="0"/>
        <v>GEN-I ZAGREB D.O.O.</v>
      </c>
      <c r="E10" s="16">
        <v>41626</v>
      </c>
      <c r="F10" s="16"/>
      <c r="G10" s="13">
        <v>20895.09</v>
      </c>
      <c r="H10" s="16"/>
      <c r="I10" s="13">
        <v>3404.18</v>
      </c>
      <c r="J10" s="13">
        <f t="shared" si="1"/>
        <v>4255.2249999999995</v>
      </c>
      <c r="K10" s="6"/>
    </row>
    <row r="11" spans="1:11" ht="24" x14ac:dyDescent="0.25">
      <c r="A11" s="3">
        <v>4</v>
      </c>
      <c r="B11" s="14" t="s">
        <v>226</v>
      </c>
      <c r="C11" s="15" t="str">
        <f>"140109"</f>
        <v>140109</v>
      </c>
      <c r="D11" s="15" t="str">
        <f t="shared" si="0"/>
        <v>GEN-I ZAGREB D.O.O.</v>
      </c>
      <c r="E11" s="16">
        <v>41614</v>
      </c>
      <c r="F11" s="16"/>
      <c r="G11" s="13">
        <v>89193.17</v>
      </c>
      <c r="H11" s="16"/>
      <c r="I11" s="13">
        <v>11622.52</v>
      </c>
      <c r="J11" s="13">
        <f t="shared" si="1"/>
        <v>14528.150000000001</v>
      </c>
      <c r="K11" s="6"/>
    </row>
    <row r="12" spans="1:11" x14ac:dyDescent="0.25">
      <c r="A12" s="3">
        <v>5</v>
      </c>
      <c r="B12" s="14" t="s">
        <v>391</v>
      </c>
      <c r="C12" s="15" t="str">
        <f>"140160"</f>
        <v>140160</v>
      </c>
      <c r="D12" s="15" t="str">
        <f t="shared" si="0"/>
        <v>GEN-I ZAGREB D.O.O.</v>
      </c>
      <c r="E12" s="16">
        <v>41621</v>
      </c>
      <c r="F12" s="16"/>
      <c r="G12" s="13">
        <v>32599.24</v>
      </c>
      <c r="H12" s="16"/>
      <c r="I12" s="13">
        <v>5305.98</v>
      </c>
      <c r="J12" s="13">
        <f t="shared" si="1"/>
        <v>6632.4749999999995</v>
      </c>
      <c r="K12" s="6"/>
    </row>
    <row r="13" spans="1:11" x14ac:dyDescent="0.25">
      <c r="A13" s="3">
        <v>6</v>
      </c>
      <c r="B13" s="14" t="s">
        <v>392</v>
      </c>
      <c r="C13" s="15" t="str">
        <f>"140145"</f>
        <v>140145</v>
      </c>
      <c r="D13" s="15" t="str">
        <f t="shared" si="0"/>
        <v>GEN-I ZAGREB D.O.O.</v>
      </c>
      <c r="E13" s="16">
        <v>41618</v>
      </c>
      <c r="F13" s="16"/>
      <c r="G13" s="13">
        <v>8773.0300000000007</v>
      </c>
      <c r="H13" s="16"/>
      <c r="I13" s="13">
        <v>7997.12</v>
      </c>
      <c r="J13" s="13">
        <f t="shared" si="1"/>
        <v>9996.4</v>
      </c>
      <c r="K13" s="6"/>
    </row>
    <row r="14" spans="1:11" ht="24" x14ac:dyDescent="0.25">
      <c r="A14" s="3">
        <v>7</v>
      </c>
      <c r="B14" s="14" t="s">
        <v>33</v>
      </c>
      <c r="C14" s="15" t="str">
        <f>"  406-05/13-01/22"</f>
        <v>  406-05/13-01/22</v>
      </c>
      <c r="D14" s="15" t="str">
        <f t="shared" si="0"/>
        <v>GEN-I ZAGREB D.O.O.</v>
      </c>
      <c r="E14" s="16">
        <v>41627</v>
      </c>
      <c r="F14" s="16"/>
      <c r="G14" s="13">
        <v>560000</v>
      </c>
      <c r="H14" s="16"/>
      <c r="I14" s="13">
        <v>513483.36</v>
      </c>
      <c r="J14" s="13">
        <f t="shared" si="1"/>
        <v>641854.19999999995</v>
      </c>
      <c r="K14" s="6"/>
    </row>
    <row r="15" spans="1:11" x14ac:dyDescent="0.25">
      <c r="A15" s="3">
        <v>8</v>
      </c>
      <c r="B15" s="14" t="s">
        <v>372</v>
      </c>
      <c r="C15" s="15" t="str">
        <f>"140084"</f>
        <v>140084</v>
      </c>
      <c r="D15" s="15" t="str">
        <f t="shared" si="0"/>
        <v>GEN-I ZAGREB D.O.O.</v>
      </c>
      <c r="E15" s="16">
        <v>41278</v>
      </c>
      <c r="F15" s="16"/>
      <c r="G15" s="13">
        <v>35488.53</v>
      </c>
      <c r="H15" s="16"/>
      <c r="I15" s="13">
        <v>6314.63</v>
      </c>
      <c r="J15" s="13">
        <f t="shared" si="1"/>
        <v>7893.2875000000004</v>
      </c>
      <c r="K15" s="6"/>
    </row>
    <row r="16" spans="1:11" x14ac:dyDescent="0.25">
      <c r="A16" s="3">
        <v>9</v>
      </c>
      <c r="B16" s="14" t="s">
        <v>371</v>
      </c>
      <c r="C16" s="15" t="str">
        <f>"140066"</f>
        <v>140066</v>
      </c>
      <c r="D16" s="15" t="str">
        <f t="shared" si="0"/>
        <v>GEN-I ZAGREB D.O.O.</v>
      </c>
      <c r="E16" s="16">
        <v>41614</v>
      </c>
      <c r="F16" s="16"/>
      <c r="G16" s="13">
        <v>32793.29</v>
      </c>
      <c r="H16" s="16"/>
      <c r="I16" s="13">
        <v>5598.73</v>
      </c>
      <c r="J16" s="13">
        <f t="shared" si="1"/>
        <v>6998.4124999999995</v>
      </c>
      <c r="K16" s="6"/>
    </row>
    <row r="17" spans="1:11" x14ac:dyDescent="0.25">
      <c r="A17" s="3">
        <v>10</v>
      </c>
      <c r="B17" s="14" t="s">
        <v>394</v>
      </c>
      <c r="C17" s="15" t="str">
        <f>"SU 212/13"</f>
        <v>SU 212/13</v>
      </c>
      <c r="D17" s="15" t="str">
        <f t="shared" si="0"/>
        <v>GEN-I ZAGREB D.O.O.</v>
      </c>
      <c r="E17" s="16">
        <v>41636</v>
      </c>
      <c r="F17" s="16"/>
      <c r="G17" s="13">
        <v>13434.5</v>
      </c>
      <c r="H17" s="16"/>
      <c r="I17" s="13">
        <v>8867.9</v>
      </c>
      <c r="J17" s="13">
        <f t="shared" si="1"/>
        <v>11084.875</v>
      </c>
      <c r="K17" s="6"/>
    </row>
    <row r="18" spans="1:11" ht="24" x14ac:dyDescent="0.25">
      <c r="A18" s="3">
        <v>11</v>
      </c>
      <c r="B18" s="14" t="s">
        <v>28</v>
      </c>
      <c r="C18" s="15" t="str">
        <f>"MGPU 2013/6"</f>
        <v>MGPU 2013/6</v>
      </c>
      <c r="D18" s="15" t="str">
        <f t="shared" si="0"/>
        <v>GEN-I ZAGREB D.O.O.</v>
      </c>
      <c r="E18" s="16">
        <v>41614</v>
      </c>
      <c r="F18" s="16">
        <v>42369</v>
      </c>
      <c r="G18" s="13">
        <v>378438.13</v>
      </c>
      <c r="H18" s="16">
        <v>42369</v>
      </c>
      <c r="I18" s="13">
        <v>378438.13</v>
      </c>
      <c r="J18" s="13">
        <f t="shared" si="1"/>
        <v>473047.66249999998</v>
      </c>
      <c r="K18" s="6"/>
    </row>
    <row r="19" spans="1:11" ht="24" x14ac:dyDescent="0.25">
      <c r="A19" s="3">
        <v>12</v>
      </c>
      <c r="B19" s="14" t="s">
        <v>45</v>
      </c>
      <c r="C19" s="15" t="str">
        <f>"06/2013-U1"</f>
        <v>06/2013-U1</v>
      </c>
      <c r="D19" s="15" t="str">
        <f t="shared" si="0"/>
        <v>GEN-I ZAGREB D.O.O.</v>
      </c>
      <c r="E19" s="16">
        <v>41640</v>
      </c>
      <c r="F19" s="16"/>
      <c r="G19" s="13">
        <v>157093.56</v>
      </c>
      <c r="H19" s="16"/>
      <c r="I19" s="13">
        <v>74692.95</v>
      </c>
      <c r="J19" s="13">
        <f t="shared" si="1"/>
        <v>93366.1875</v>
      </c>
      <c r="K19" s="6"/>
    </row>
    <row r="20" spans="1:11" ht="24" x14ac:dyDescent="0.25">
      <c r="A20" s="3">
        <v>13</v>
      </c>
      <c r="B20" s="14" t="s">
        <v>32</v>
      </c>
      <c r="C20" s="15" t="str">
        <f>"920-07/13-13/43"</f>
        <v>920-07/13-13/43</v>
      </c>
      <c r="D20" s="15" t="str">
        <f t="shared" si="0"/>
        <v>GEN-I ZAGREB D.O.O.</v>
      </c>
      <c r="E20" s="16">
        <v>41620</v>
      </c>
      <c r="F20" s="16"/>
      <c r="G20" s="13">
        <v>967780.56</v>
      </c>
      <c r="H20" s="16"/>
      <c r="I20" s="13">
        <v>500886.61</v>
      </c>
      <c r="J20" s="13">
        <f t="shared" si="1"/>
        <v>626108.26249999995</v>
      </c>
      <c r="K20" s="6"/>
    </row>
    <row r="21" spans="1:11" ht="24" x14ac:dyDescent="0.25">
      <c r="A21" s="3">
        <v>14</v>
      </c>
      <c r="B21" s="14" t="s">
        <v>313</v>
      </c>
      <c r="C21" s="15" t="str">
        <f>"140043"</f>
        <v>140043</v>
      </c>
      <c r="D21" s="15" t="str">
        <f t="shared" si="0"/>
        <v>GEN-I ZAGREB D.O.O.</v>
      </c>
      <c r="E21" s="16">
        <v>41618</v>
      </c>
      <c r="F21" s="16">
        <v>42369</v>
      </c>
      <c r="G21" s="13">
        <v>103822.15</v>
      </c>
      <c r="H21" s="16">
        <v>42369</v>
      </c>
      <c r="I21" s="13">
        <v>45939.61</v>
      </c>
      <c r="J21" s="13">
        <f t="shared" si="1"/>
        <v>57424.512499999997</v>
      </c>
      <c r="K21" s="6"/>
    </row>
    <row r="22" spans="1:11" x14ac:dyDescent="0.25">
      <c r="A22" s="3">
        <v>15</v>
      </c>
      <c r="B22" s="14" t="s">
        <v>312</v>
      </c>
      <c r="C22" s="15" t="str">
        <f>"17-SU-1228/13"</f>
        <v>17-SU-1228/13</v>
      </c>
      <c r="D22" s="15" t="str">
        <f t="shared" si="0"/>
        <v>GEN-I ZAGREB D.O.O.</v>
      </c>
      <c r="E22" s="16">
        <v>41640</v>
      </c>
      <c r="F22" s="16">
        <v>42369</v>
      </c>
      <c r="G22" s="13">
        <v>73471.009999999995</v>
      </c>
      <c r="H22" s="16">
        <v>42369</v>
      </c>
      <c r="I22" s="13">
        <v>76931.710000000006</v>
      </c>
      <c r="J22" s="13">
        <f t="shared" si="1"/>
        <v>96164.637500000012</v>
      </c>
      <c r="K22" s="6"/>
    </row>
    <row r="23" spans="1:11" ht="24" x14ac:dyDescent="0.25">
      <c r="A23" s="3">
        <v>16</v>
      </c>
      <c r="B23" s="14" t="s">
        <v>42</v>
      </c>
      <c r="C23" s="15" t="str">
        <f>"SNUG-203-14-0004"</f>
        <v>SNUG-203-14-0004</v>
      </c>
      <c r="D23" s="15" t="str">
        <f t="shared" si="0"/>
        <v>GEN-I ZAGREB D.O.O.</v>
      </c>
      <c r="E23" s="16">
        <v>41617</v>
      </c>
      <c r="F23" s="16"/>
      <c r="G23" s="13">
        <v>13897906.76</v>
      </c>
      <c r="H23" s="16"/>
      <c r="I23" s="13">
        <v>13897906.76</v>
      </c>
      <c r="J23" s="13">
        <f t="shared" si="1"/>
        <v>17372383.449999999</v>
      </c>
      <c r="K23" s="6"/>
    </row>
    <row r="24" spans="1:11" x14ac:dyDescent="0.25">
      <c r="A24" s="3">
        <v>17</v>
      </c>
      <c r="B24" s="14" t="s">
        <v>26</v>
      </c>
      <c r="C24" s="15" t="str">
        <f>"6-2013"</f>
        <v>6-2013</v>
      </c>
      <c r="D24" s="15" t="str">
        <f t="shared" si="0"/>
        <v>GEN-I ZAGREB D.O.O.</v>
      </c>
      <c r="E24" s="16">
        <v>41625</v>
      </c>
      <c r="F24" s="16">
        <v>42369</v>
      </c>
      <c r="G24" s="13">
        <v>168610.16</v>
      </c>
      <c r="H24" s="16">
        <v>42369</v>
      </c>
      <c r="I24" s="13">
        <v>158621.92000000001</v>
      </c>
      <c r="J24" s="13">
        <f t="shared" si="1"/>
        <v>198277.40000000002</v>
      </c>
      <c r="K24" s="6"/>
    </row>
    <row r="25" spans="1:11" ht="24" x14ac:dyDescent="0.25">
      <c r="A25" s="3">
        <v>18</v>
      </c>
      <c r="B25" s="14" t="s">
        <v>30</v>
      </c>
      <c r="C25" s="15" t="str">
        <f>"510-C-U-0197/13-90"</f>
        <v>510-C-U-0197/13-90</v>
      </c>
      <c r="D25" s="15" t="str">
        <f t="shared" si="0"/>
        <v>GEN-I ZAGREB D.O.O.</v>
      </c>
      <c r="E25" s="16">
        <v>41632</v>
      </c>
      <c r="F25" s="16"/>
      <c r="G25" s="13">
        <v>241871</v>
      </c>
      <c r="H25" s="16"/>
      <c r="I25" s="13">
        <v>968694</v>
      </c>
      <c r="J25" s="13">
        <f t="shared" si="1"/>
        <v>1210867.5</v>
      </c>
      <c r="K25" s="6"/>
    </row>
    <row r="26" spans="1:11" x14ac:dyDescent="0.25">
      <c r="A26" s="3">
        <v>19</v>
      </c>
      <c r="B26" s="14" t="s">
        <v>60</v>
      </c>
      <c r="C26" s="15" t="str">
        <f>"6/2013ZSK"</f>
        <v>6/2013ZSK</v>
      </c>
      <c r="D26" s="15" t="str">
        <f t="shared" si="0"/>
        <v>GEN-I ZAGREB D.O.O.</v>
      </c>
      <c r="E26" s="16">
        <v>41586</v>
      </c>
      <c r="F26" s="16"/>
      <c r="G26" s="13">
        <v>70125.06</v>
      </c>
      <c r="H26" s="16"/>
      <c r="I26" s="13">
        <v>70125.06</v>
      </c>
      <c r="J26" s="13">
        <f t="shared" si="1"/>
        <v>87656.324999999997</v>
      </c>
      <c r="K26" s="6"/>
    </row>
    <row r="27" spans="1:11" ht="24" x14ac:dyDescent="0.25">
      <c r="A27" s="3">
        <v>20</v>
      </c>
      <c r="B27" s="14" t="s">
        <v>334</v>
      </c>
      <c r="C27" s="15" t="str">
        <f>"6/2013 - OKSZG"</f>
        <v>6/2013 - OKSZG</v>
      </c>
      <c r="D27" s="15" t="str">
        <f t="shared" si="0"/>
        <v>GEN-I ZAGREB D.O.O.</v>
      </c>
      <c r="E27" s="16">
        <v>41586</v>
      </c>
      <c r="F27" s="16"/>
      <c r="G27" s="13">
        <v>164286.82999999999</v>
      </c>
      <c r="H27" s="16"/>
      <c r="I27" s="13">
        <v>287245.56</v>
      </c>
      <c r="J27" s="13">
        <f t="shared" si="1"/>
        <v>359056.95</v>
      </c>
      <c r="K27" s="6"/>
    </row>
    <row r="28" spans="1:11" x14ac:dyDescent="0.25">
      <c r="A28" s="3">
        <v>21</v>
      </c>
      <c r="B28" s="14"/>
      <c r="C28" s="15" t="str">
        <f>"140063"</f>
        <v>140063</v>
      </c>
      <c r="D28" s="15" t="str">
        <f t="shared" si="0"/>
        <v>GEN-I ZAGREB D.O.O.</v>
      </c>
      <c r="E28" s="16">
        <v>41599</v>
      </c>
      <c r="F28" s="16"/>
      <c r="G28" s="13">
        <v>17472420</v>
      </c>
      <c r="H28" s="16"/>
      <c r="I28" s="13">
        <v>6191.36</v>
      </c>
      <c r="J28" s="13">
        <f t="shared" si="1"/>
        <v>7739.2</v>
      </c>
      <c r="K28" s="6"/>
    </row>
    <row r="29" spans="1:11" x14ac:dyDescent="0.25">
      <c r="A29" s="3">
        <v>22</v>
      </c>
      <c r="B29" s="14" t="s">
        <v>369</v>
      </c>
      <c r="C29" s="15" t="str">
        <f>"140146"</f>
        <v>140146</v>
      </c>
      <c r="D29" s="15" t="str">
        <f t="shared" si="0"/>
        <v>GEN-I ZAGREB D.O.O.</v>
      </c>
      <c r="E29" s="16">
        <v>41622</v>
      </c>
      <c r="F29" s="16"/>
      <c r="G29" s="13">
        <v>20000</v>
      </c>
      <c r="H29" s="16"/>
      <c r="I29" s="13">
        <v>0</v>
      </c>
      <c r="J29" s="13">
        <f t="shared" si="1"/>
        <v>0</v>
      </c>
      <c r="K29" s="6"/>
    </row>
    <row r="30" spans="1:11" ht="24" x14ac:dyDescent="0.25">
      <c r="A30" s="3">
        <v>23</v>
      </c>
      <c r="B30" s="14" t="s">
        <v>227</v>
      </c>
      <c r="C30" s="15" t="str">
        <f>"EL.ENERGIJA NG"</f>
        <v>EL.ENERGIJA NG</v>
      </c>
      <c r="D30" s="15" t="str">
        <f t="shared" si="0"/>
        <v>GEN-I ZAGREB D.O.O.</v>
      </c>
      <c r="E30" s="16">
        <v>41610</v>
      </c>
      <c r="F30" s="16"/>
      <c r="G30" s="13">
        <v>19193.759999999998</v>
      </c>
      <c r="H30" s="16"/>
      <c r="I30" s="13">
        <v>2733.82</v>
      </c>
      <c r="J30" s="13">
        <f t="shared" si="1"/>
        <v>3417.2750000000001</v>
      </c>
      <c r="K30" s="6"/>
    </row>
    <row r="31" spans="1:11" ht="24" x14ac:dyDescent="0.25">
      <c r="A31" s="3">
        <v>24</v>
      </c>
      <c r="B31" s="14" t="s">
        <v>43</v>
      </c>
      <c r="C31" s="15" t="str">
        <f>"MRMS-EN-2015"</f>
        <v>MRMS-EN-2015</v>
      </c>
      <c r="D31" s="15" t="str">
        <f t="shared" si="0"/>
        <v>GEN-I ZAGREB D.O.O.</v>
      </c>
      <c r="E31" s="16">
        <v>42030</v>
      </c>
      <c r="F31" s="16">
        <v>42369</v>
      </c>
      <c r="G31" s="13">
        <v>80000</v>
      </c>
      <c r="H31" s="16">
        <v>42369</v>
      </c>
      <c r="I31" s="13">
        <v>59121.81</v>
      </c>
      <c r="J31" s="13">
        <f t="shared" si="1"/>
        <v>73902.262499999997</v>
      </c>
      <c r="K31" s="6"/>
    </row>
    <row r="32" spans="1:11" ht="24" x14ac:dyDescent="0.25">
      <c r="A32" s="3">
        <v>25</v>
      </c>
      <c r="B32" s="14" t="s">
        <v>62</v>
      </c>
      <c r="C32" s="15" t="str">
        <f>"150186"</f>
        <v>150186</v>
      </c>
      <c r="D32" s="15" t="str">
        <f t="shared" si="0"/>
        <v>GEN-I ZAGREB D.O.O.</v>
      </c>
      <c r="E32" s="16">
        <v>42426</v>
      </c>
      <c r="F32" s="16">
        <v>42369</v>
      </c>
      <c r="G32" s="13">
        <v>88305.45</v>
      </c>
      <c r="H32" s="16">
        <v>42369</v>
      </c>
      <c r="I32" s="13">
        <v>225240.77</v>
      </c>
      <c r="J32" s="13">
        <f t="shared" si="1"/>
        <v>281550.96249999997</v>
      </c>
      <c r="K32" s="6"/>
    </row>
    <row r="33" spans="1:11" x14ac:dyDescent="0.25">
      <c r="A33" s="3">
        <v>26</v>
      </c>
      <c r="B33" s="14" t="s">
        <v>51</v>
      </c>
      <c r="C33" s="15" t="str">
        <f>"150010"</f>
        <v>150010</v>
      </c>
      <c r="D33" s="15" t="str">
        <f t="shared" si="0"/>
        <v>GEN-I ZAGREB D.O.O.</v>
      </c>
      <c r="E33" s="16">
        <v>41996</v>
      </c>
      <c r="F33" s="16">
        <v>42369</v>
      </c>
      <c r="G33" s="13">
        <v>1143509.76</v>
      </c>
      <c r="H33" s="16">
        <v>42369</v>
      </c>
      <c r="I33" s="13">
        <v>1143509.76</v>
      </c>
      <c r="J33" s="13">
        <f t="shared" si="1"/>
        <v>1429387.2</v>
      </c>
      <c r="K33" s="6"/>
    </row>
    <row r="34" spans="1:11" x14ac:dyDescent="0.25">
      <c r="A34" s="3">
        <v>27</v>
      </c>
      <c r="B34" s="14"/>
      <c r="C34" s="15" t="str">
        <f>"UG-150085"</f>
        <v>UG-150085</v>
      </c>
      <c r="D34" s="15" t="str">
        <f t="shared" si="0"/>
        <v>GEN-I ZAGREB D.O.O.</v>
      </c>
      <c r="E34" s="16">
        <v>41981</v>
      </c>
      <c r="F34" s="16"/>
      <c r="G34" s="13">
        <v>25003.65</v>
      </c>
      <c r="H34" s="16"/>
      <c r="I34" s="13">
        <v>14593.51</v>
      </c>
      <c r="J34" s="13">
        <f t="shared" si="1"/>
        <v>18241.887500000001</v>
      </c>
      <c r="K34" s="6"/>
    </row>
    <row r="35" spans="1:11" x14ac:dyDescent="0.25">
      <c r="A35" s="3">
        <v>28</v>
      </c>
      <c r="B35" s="14" t="s">
        <v>51</v>
      </c>
      <c r="C35" s="15" t="str">
        <f>"150010"</f>
        <v>150010</v>
      </c>
      <c r="D35" s="15" t="str">
        <f t="shared" si="0"/>
        <v>GEN-I ZAGREB D.O.O.</v>
      </c>
      <c r="E35" s="16">
        <v>41985</v>
      </c>
      <c r="F35" s="16">
        <v>42369</v>
      </c>
      <c r="G35" s="13">
        <v>2436299.5</v>
      </c>
      <c r="H35" s="16">
        <v>42369</v>
      </c>
      <c r="I35" s="13">
        <v>1143509.76</v>
      </c>
      <c r="J35" s="13">
        <f t="shared" si="1"/>
        <v>1429387.2</v>
      </c>
      <c r="K35" s="6"/>
    </row>
    <row r="36" spans="1:11" x14ac:dyDescent="0.25">
      <c r="A36" s="3">
        <v>29</v>
      </c>
      <c r="B36" s="14" t="s">
        <v>169</v>
      </c>
      <c r="C36" s="15" t="str">
        <f>"150046"</f>
        <v>150046</v>
      </c>
      <c r="D36" s="15" t="str">
        <f t="shared" si="0"/>
        <v>GEN-I ZAGREB D.O.O.</v>
      </c>
      <c r="E36" s="16">
        <v>41984</v>
      </c>
      <c r="F36" s="16">
        <v>42369</v>
      </c>
      <c r="G36" s="13">
        <v>10395.030000000001</v>
      </c>
      <c r="H36" s="16">
        <v>42369</v>
      </c>
      <c r="I36" s="13">
        <v>7887.77</v>
      </c>
      <c r="J36" s="13">
        <f t="shared" si="1"/>
        <v>9859.7125000000015</v>
      </c>
      <c r="K36" s="6"/>
    </row>
    <row r="37" spans="1:11" x14ac:dyDescent="0.25">
      <c r="A37" s="3">
        <v>30</v>
      </c>
      <c r="B37" s="14" t="s">
        <v>188</v>
      </c>
      <c r="C37" s="15" t="str">
        <f>"140073"</f>
        <v>140073</v>
      </c>
      <c r="D37" s="15" t="str">
        <f t="shared" si="0"/>
        <v>GEN-I ZAGREB D.O.O.</v>
      </c>
      <c r="E37" s="16">
        <v>41982</v>
      </c>
      <c r="F37" s="16">
        <v>42369</v>
      </c>
      <c r="G37" s="13">
        <v>171014.65</v>
      </c>
      <c r="H37" s="16">
        <v>42369</v>
      </c>
      <c r="I37" s="13">
        <v>208925.69</v>
      </c>
      <c r="J37" s="13">
        <f t="shared" si="1"/>
        <v>261157.11249999999</v>
      </c>
      <c r="K37" s="6"/>
    </row>
    <row r="38" spans="1:11" ht="24" x14ac:dyDescent="0.25">
      <c r="A38" s="3">
        <v>31</v>
      </c>
      <c r="B38" s="14" t="s">
        <v>70</v>
      </c>
      <c r="C38" s="15" t="str">
        <f>"140171"</f>
        <v>140171</v>
      </c>
      <c r="D38" s="15" t="str">
        <f t="shared" si="0"/>
        <v>GEN-I ZAGREB D.O.O.</v>
      </c>
      <c r="E38" s="16">
        <v>41985</v>
      </c>
      <c r="F38" s="16">
        <v>42369</v>
      </c>
      <c r="G38" s="13">
        <v>239930.04</v>
      </c>
      <c r="H38" s="16">
        <v>42369</v>
      </c>
      <c r="I38" s="13">
        <v>147694.94</v>
      </c>
      <c r="J38" s="13">
        <f t="shared" si="1"/>
        <v>184618.67499999999</v>
      </c>
      <c r="K38" s="6"/>
    </row>
    <row r="39" spans="1:11" x14ac:dyDescent="0.25">
      <c r="A39" s="3">
        <v>32</v>
      </c>
      <c r="B39" s="14"/>
      <c r="C39" s="15" t="str">
        <f>"UG-140144"</f>
        <v>UG-140144</v>
      </c>
      <c r="D39" s="15" t="str">
        <f t="shared" si="0"/>
        <v>GEN-I ZAGREB D.O.O.</v>
      </c>
      <c r="E39" s="16">
        <v>42005</v>
      </c>
      <c r="F39" s="16"/>
      <c r="G39" s="13">
        <v>20856.669999999998</v>
      </c>
      <c r="H39" s="16"/>
      <c r="I39" s="13">
        <v>20856.669999999998</v>
      </c>
      <c r="J39" s="13">
        <f t="shared" si="1"/>
        <v>26070.837499999998</v>
      </c>
      <c r="K39" s="6"/>
    </row>
    <row r="40" spans="1:11" x14ac:dyDescent="0.25">
      <c r="A40" s="3">
        <v>33</v>
      </c>
      <c r="B40" s="14" t="s">
        <v>395</v>
      </c>
      <c r="C40" s="15" t="str">
        <f>"140049"</f>
        <v>140049</v>
      </c>
      <c r="D40" s="15" t="str">
        <f t="shared" si="0"/>
        <v>GEN-I ZAGREB D.O.O.</v>
      </c>
      <c r="E40" s="16">
        <v>41832</v>
      </c>
      <c r="F40" s="16">
        <v>42369</v>
      </c>
      <c r="G40" s="13">
        <v>2421.6999999999998</v>
      </c>
      <c r="H40" s="16">
        <v>42369</v>
      </c>
      <c r="I40" s="13">
        <v>1306.23</v>
      </c>
      <c r="J40" s="13">
        <f t="shared" si="1"/>
        <v>1632.7874999999999</v>
      </c>
      <c r="K40" s="6"/>
    </row>
    <row r="41" spans="1:11" x14ac:dyDescent="0.25">
      <c r="A41" s="3">
        <v>34</v>
      </c>
      <c r="B41" s="14" t="s">
        <v>187</v>
      </c>
      <c r="C41" s="15" t="str">
        <f>"140033"</f>
        <v>140033</v>
      </c>
      <c r="D41" s="15" t="str">
        <f t="shared" si="0"/>
        <v>GEN-I ZAGREB D.O.O.</v>
      </c>
      <c r="E41" s="16">
        <v>41793</v>
      </c>
      <c r="F41" s="16">
        <v>42369</v>
      </c>
      <c r="G41" s="13">
        <v>192601.02</v>
      </c>
      <c r="H41" s="16">
        <v>42369</v>
      </c>
      <c r="I41" s="13">
        <v>180293.48</v>
      </c>
      <c r="J41" s="13">
        <f t="shared" si="1"/>
        <v>225366.85</v>
      </c>
      <c r="K41" s="6"/>
    </row>
    <row r="42" spans="1:11" x14ac:dyDescent="0.25">
      <c r="A42" s="3">
        <v>35</v>
      </c>
      <c r="B42" s="14" t="s">
        <v>274</v>
      </c>
      <c r="C42" s="15" t="str">
        <f>"140028"</f>
        <v>140028</v>
      </c>
      <c r="D42" s="15" t="str">
        <f t="shared" si="0"/>
        <v>GEN-I ZAGREB D.O.O.</v>
      </c>
      <c r="E42" s="16">
        <v>41766</v>
      </c>
      <c r="F42" s="16">
        <v>42369</v>
      </c>
      <c r="G42" s="13">
        <v>268342.39</v>
      </c>
      <c r="H42" s="16">
        <v>42369</v>
      </c>
      <c r="I42" s="13">
        <v>274031.14</v>
      </c>
      <c r="J42" s="13">
        <f t="shared" si="1"/>
        <v>342538.92500000005</v>
      </c>
      <c r="K42" s="6"/>
    </row>
    <row r="43" spans="1:11" x14ac:dyDescent="0.25">
      <c r="A43" s="3">
        <v>36</v>
      </c>
      <c r="B43" s="14" t="s">
        <v>182</v>
      </c>
      <c r="C43" s="15" t="str">
        <f>"140183"</f>
        <v>140183</v>
      </c>
      <c r="D43" s="15" t="str">
        <f t="shared" si="0"/>
        <v>GEN-I ZAGREB D.O.O.</v>
      </c>
      <c r="E43" s="16">
        <v>41745</v>
      </c>
      <c r="F43" s="16">
        <v>42369</v>
      </c>
      <c r="G43" s="13">
        <v>23254.47</v>
      </c>
      <c r="H43" s="16">
        <v>42369</v>
      </c>
      <c r="I43" s="13">
        <v>6491.56</v>
      </c>
      <c r="J43" s="13">
        <f t="shared" si="1"/>
        <v>8114.4500000000007</v>
      </c>
      <c r="K43" s="6"/>
    </row>
    <row r="44" spans="1:11" x14ac:dyDescent="0.25">
      <c r="A44" s="3">
        <v>37</v>
      </c>
      <c r="B44" s="14" t="s">
        <v>366</v>
      </c>
      <c r="C44" s="15" t="str">
        <f>"140179"</f>
        <v>140179</v>
      </c>
      <c r="D44" s="15" t="str">
        <f t="shared" si="0"/>
        <v>GEN-I ZAGREB D.O.O.</v>
      </c>
      <c r="E44" s="16">
        <v>41742</v>
      </c>
      <c r="F44" s="16">
        <v>42369</v>
      </c>
      <c r="G44" s="13">
        <v>76517.570000000007</v>
      </c>
      <c r="H44" s="16">
        <v>42369</v>
      </c>
      <c r="I44" s="13">
        <v>53818.9</v>
      </c>
      <c r="J44" s="13">
        <f t="shared" si="1"/>
        <v>67273.625</v>
      </c>
      <c r="K44" s="6"/>
    </row>
    <row r="45" spans="1:11" ht="24" x14ac:dyDescent="0.25">
      <c r="A45" s="3">
        <v>38</v>
      </c>
      <c r="B45" s="14" t="s">
        <v>30</v>
      </c>
      <c r="C45" s="15" t="str">
        <f>"140159"</f>
        <v>140159</v>
      </c>
      <c r="D45" s="15" t="str">
        <f t="shared" si="0"/>
        <v>GEN-I ZAGREB D.O.O.</v>
      </c>
      <c r="E45" s="16">
        <v>41708</v>
      </c>
      <c r="F45" s="16">
        <v>42369</v>
      </c>
      <c r="G45" s="13">
        <v>898199.18</v>
      </c>
      <c r="H45" s="16">
        <v>42369</v>
      </c>
      <c r="I45" s="13">
        <v>0</v>
      </c>
      <c r="J45" s="13">
        <f t="shared" si="1"/>
        <v>0</v>
      </c>
      <c r="K45" s="6"/>
    </row>
    <row r="46" spans="1:11" x14ac:dyDescent="0.25">
      <c r="A46" s="3">
        <v>39</v>
      </c>
      <c r="B46" s="14" t="s">
        <v>199</v>
      </c>
      <c r="C46" s="15" t="str">
        <f>"140014"</f>
        <v>140014</v>
      </c>
      <c r="D46" s="15" t="str">
        <f t="shared" si="0"/>
        <v>GEN-I ZAGREB D.O.O.</v>
      </c>
      <c r="E46" s="16">
        <v>41611</v>
      </c>
      <c r="F46" s="16">
        <v>42369</v>
      </c>
      <c r="G46" s="13">
        <v>59852.35</v>
      </c>
      <c r="H46" s="16">
        <v>42369</v>
      </c>
      <c r="I46" s="13">
        <v>7820</v>
      </c>
      <c r="J46" s="13">
        <f t="shared" si="1"/>
        <v>9775</v>
      </c>
      <c r="K46" s="6"/>
    </row>
    <row r="47" spans="1:11" x14ac:dyDescent="0.25">
      <c r="A47" s="3">
        <v>40</v>
      </c>
      <c r="B47" s="14" t="s">
        <v>317</v>
      </c>
      <c r="C47" s="15" t="str">
        <f>"140182"</f>
        <v>140182</v>
      </c>
      <c r="D47" s="15" t="str">
        <f t="shared" si="0"/>
        <v>GEN-I ZAGREB D.O.O.</v>
      </c>
      <c r="E47" s="16">
        <v>41716</v>
      </c>
      <c r="F47" s="16">
        <v>42369</v>
      </c>
      <c r="G47" s="13">
        <v>112739.49</v>
      </c>
      <c r="H47" s="16">
        <v>42369</v>
      </c>
      <c r="I47" s="13">
        <v>63676.08</v>
      </c>
      <c r="J47" s="13">
        <f t="shared" si="1"/>
        <v>79595.100000000006</v>
      </c>
      <c r="K47" s="6"/>
    </row>
    <row r="48" spans="1:11" x14ac:dyDescent="0.25">
      <c r="A48" s="3">
        <v>41</v>
      </c>
      <c r="B48" s="14" t="s">
        <v>315</v>
      </c>
      <c r="C48" s="15" t="str">
        <f>"140026"</f>
        <v>140026</v>
      </c>
      <c r="D48" s="15" t="str">
        <f t="shared" si="0"/>
        <v>GEN-I ZAGREB D.O.O.</v>
      </c>
      <c r="E48" s="16">
        <v>41708</v>
      </c>
      <c r="F48" s="16">
        <v>42369</v>
      </c>
      <c r="G48" s="13">
        <v>185466</v>
      </c>
      <c r="H48" s="16">
        <v>42369</v>
      </c>
      <c r="I48" s="13">
        <v>207794.3</v>
      </c>
      <c r="J48" s="13">
        <f t="shared" si="1"/>
        <v>259742.875</v>
      </c>
      <c r="K48" s="6"/>
    </row>
    <row r="49" spans="1:11" x14ac:dyDescent="0.25">
      <c r="A49" s="3">
        <v>42</v>
      </c>
      <c r="B49" s="14" t="s">
        <v>396</v>
      </c>
      <c r="C49" s="15" t="str">
        <f>"140175"</f>
        <v>140175</v>
      </c>
      <c r="D49" s="15" t="str">
        <f t="shared" si="0"/>
        <v>GEN-I ZAGREB D.O.O.</v>
      </c>
      <c r="E49" s="16">
        <v>41672</v>
      </c>
      <c r="F49" s="16">
        <v>42369</v>
      </c>
      <c r="G49" s="13">
        <v>51241.3</v>
      </c>
      <c r="H49" s="16">
        <v>42369</v>
      </c>
      <c r="I49" s="13">
        <v>26054.29</v>
      </c>
      <c r="J49" s="13">
        <f t="shared" si="1"/>
        <v>32567.862500000003</v>
      </c>
      <c r="K49" s="6"/>
    </row>
    <row r="50" spans="1:11" x14ac:dyDescent="0.25">
      <c r="A50" s="3">
        <v>43</v>
      </c>
      <c r="B50" s="14" t="s">
        <v>336</v>
      </c>
      <c r="C50" s="15" t="str">
        <f>"140157"</f>
        <v>140157</v>
      </c>
      <c r="D50" s="15" t="str">
        <f t="shared" si="0"/>
        <v>GEN-I ZAGREB D.O.O.</v>
      </c>
      <c r="E50" s="16">
        <v>41682</v>
      </c>
      <c r="F50" s="16">
        <v>42369</v>
      </c>
      <c r="G50" s="13">
        <v>10304.799999999999</v>
      </c>
      <c r="H50" s="16">
        <v>42369</v>
      </c>
      <c r="I50" s="13">
        <v>32058.41</v>
      </c>
      <c r="J50" s="13">
        <f t="shared" si="1"/>
        <v>40073.012499999997</v>
      </c>
      <c r="K50" s="6"/>
    </row>
    <row r="51" spans="1:11" x14ac:dyDescent="0.25">
      <c r="A51" s="3">
        <v>44</v>
      </c>
      <c r="B51" s="14" t="s">
        <v>311</v>
      </c>
      <c r="C51" s="15" t="str">
        <f>"140068"</f>
        <v>140068</v>
      </c>
      <c r="D51" s="15" t="str">
        <f t="shared" si="0"/>
        <v>GEN-I ZAGREB D.O.O.</v>
      </c>
      <c r="E51" s="16">
        <v>41678</v>
      </c>
      <c r="F51" s="16">
        <v>42369</v>
      </c>
      <c r="G51" s="13">
        <v>69849.03</v>
      </c>
      <c r="H51" s="16">
        <v>42369</v>
      </c>
      <c r="I51" s="13">
        <v>77197.73</v>
      </c>
      <c r="J51" s="13">
        <f t="shared" si="1"/>
        <v>96497.162499999991</v>
      </c>
      <c r="K51" s="6"/>
    </row>
    <row r="52" spans="1:11" x14ac:dyDescent="0.25">
      <c r="A52" s="3">
        <v>45</v>
      </c>
      <c r="B52" s="14" t="s">
        <v>168</v>
      </c>
      <c r="C52" s="15" t="str">
        <f>"140178"</f>
        <v>140178</v>
      </c>
      <c r="D52" s="15" t="str">
        <f t="shared" si="0"/>
        <v>GEN-I ZAGREB D.O.O.</v>
      </c>
      <c r="E52" s="16">
        <v>41682</v>
      </c>
      <c r="F52" s="16">
        <v>42369</v>
      </c>
      <c r="G52" s="13">
        <v>29845.59</v>
      </c>
      <c r="H52" s="16">
        <v>42369</v>
      </c>
      <c r="I52" s="13">
        <v>62066.15</v>
      </c>
      <c r="J52" s="13">
        <f t="shared" si="1"/>
        <v>77582.6875</v>
      </c>
      <c r="K52" s="6"/>
    </row>
    <row r="53" spans="1:11" x14ac:dyDescent="0.25">
      <c r="A53" s="3">
        <v>46</v>
      </c>
      <c r="B53" s="14" t="s">
        <v>46</v>
      </c>
      <c r="C53" s="15" t="str">
        <f>"140162"</f>
        <v>140162</v>
      </c>
      <c r="D53" s="15" t="str">
        <f t="shared" si="0"/>
        <v>GEN-I ZAGREB D.O.O.</v>
      </c>
      <c r="E53" s="16">
        <v>41678</v>
      </c>
      <c r="F53" s="16">
        <v>42369</v>
      </c>
      <c r="G53" s="13">
        <v>638164.74</v>
      </c>
      <c r="H53" s="16">
        <v>42369</v>
      </c>
      <c r="I53" s="13">
        <v>218297.35</v>
      </c>
      <c r="J53" s="13">
        <f t="shared" si="1"/>
        <v>272871.6875</v>
      </c>
      <c r="K53" s="6"/>
    </row>
    <row r="54" spans="1:11" x14ac:dyDescent="0.25">
      <c r="A54" s="3">
        <v>47</v>
      </c>
      <c r="B54" s="14" t="s">
        <v>260</v>
      </c>
      <c r="C54" s="15" t="str">
        <f>"140161"</f>
        <v>140161</v>
      </c>
      <c r="D54" s="15" t="str">
        <f t="shared" si="0"/>
        <v>GEN-I ZAGREB D.O.O.</v>
      </c>
      <c r="E54" s="16">
        <v>41671</v>
      </c>
      <c r="F54" s="16">
        <v>42369</v>
      </c>
      <c r="G54" s="13">
        <v>84682.85</v>
      </c>
      <c r="H54" s="16">
        <v>42369</v>
      </c>
      <c r="I54" s="13">
        <v>42300.26</v>
      </c>
      <c r="J54" s="13">
        <f t="shared" si="1"/>
        <v>52875.325000000004</v>
      </c>
      <c r="K54" s="6"/>
    </row>
    <row r="55" spans="1:11" x14ac:dyDescent="0.25">
      <c r="A55" s="3">
        <v>48</v>
      </c>
      <c r="B55" s="14" t="s">
        <v>397</v>
      </c>
      <c r="C55" s="15" t="str">
        <f>"140181"</f>
        <v>140181</v>
      </c>
      <c r="D55" s="15" t="str">
        <f t="shared" si="0"/>
        <v>GEN-I ZAGREB D.O.O.</v>
      </c>
      <c r="E55" s="16">
        <v>41683</v>
      </c>
      <c r="F55" s="16">
        <v>42369</v>
      </c>
      <c r="G55" s="13">
        <v>156218.54</v>
      </c>
      <c r="H55" s="16">
        <v>42369</v>
      </c>
      <c r="I55" s="13">
        <v>93709.14</v>
      </c>
      <c r="J55" s="13">
        <f t="shared" si="1"/>
        <v>117136.425</v>
      </c>
      <c r="K55" s="6"/>
    </row>
    <row r="56" spans="1:11" x14ac:dyDescent="0.25">
      <c r="A56" s="3">
        <v>49</v>
      </c>
      <c r="B56" s="14" t="s">
        <v>358</v>
      </c>
      <c r="C56" s="15" t="str">
        <f>"140058"</f>
        <v>140058</v>
      </c>
      <c r="D56" s="15" t="str">
        <f t="shared" si="0"/>
        <v>GEN-I ZAGREB D.O.O.</v>
      </c>
      <c r="E56" s="16">
        <v>41610</v>
      </c>
      <c r="F56" s="16"/>
      <c r="G56" s="13">
        <v>34591.629999999997</v>
      </c>
      <c r="H56" s="16"/>
      <c r="I56" s="13">
        <v>7086.48</v>
      </c>
      <c r="J56" s="13">
        <f t="shared" si="1"/>
        <v>8858.0999999999985</v>
      </c>
      <c r="K56" s="6"/>
    </row>
    <row r="57" spans="1:11" x14ac:dyDescent="0.25">
      <c r="A57" s="3">
        <v>50</v>
      </c>
      <c r="B57" s="14" t="s">
        <v>182</v>
      </c>
      <c r="C57" s="15" t="str">
        <f>"140167"</f>
        <v>140167</v>
      </c>
      <c r="D57" s="15" t="str">
        <f t="shared" si="0"/>
        <v>GEN-I ZAGREB D.O.O.</v>
      </c>
      <c r="E57" s="16">
        <v>41652</v>
      </c>
      <c r="F57" s="16">
        <v>42369</v>
      </c>
      <c r="G57" s="13">
        <v>25998.63</v>
      </c>
      <c r="H57" s="16">
        <v>42369</v>
      </c>
      <c r="I57" s="13">
        <v>6798.37</v>
      </c>
      <c r="J57" s="13">
        <f t="shared" si="1"/>
        <v>8497.9624999999996</v>
      </c>
      <c r="K57" s="6"/>
    </row>
    <row r="58" spans="1:11" ht="24" x14ac:dyDescent="0.25">
      <c r="A58" s="3">
        <v>51</v>
      </c>
      <c r="B58" s="14" t="s">
        <v>398</v>
      </c>
      <c r="C58" s="15" t="str">
        <f>"140173"</f>
        <v>140173</v>
      </c>
      <c r="D58" s="15" t="str">
        <f t="shared" si="0"/>
        <v>GEN-I ZAGREB D.O.O.</v>
      </c>
      <c r="E58" s="16">
        <v>41656</v>
      </c>
      <c r="F58" s="16">
        <v>42369</v>
      </c>
      <c r="G58" s="13">
        <v>6302.92</v>
      </c>
      <c r="H58" s="16">
        <v>42369</v>
      </c>
      <c r="I58" s="13">
        <v>4081.83</v>
      </c>
      <c r="J58" s="13">
        <f t="shared" si="1"/>
        <v>5102.2875000000004</v>
      </c>
      <c r="K58" s="6"/>
    </row>
    <row r="59" spans="1:11" x14ac:dyDescent="0.25">
      <c r="A59" s="3">
        <v>52</v>
      </c>
      <c r="B59" s="14" t="s">
        <v>399</v>
      </c>
      <c r="C59" s="15" t="str">
        <f>"140174"</f>
        <v>140174</v>
      </c>
      <c r="D59" s="15" t="str">
        <f t="shared" si="0"/>
        <v>GEN-I ZAGREB D.O.O.</v>
      </c>
      <c r="E59" s="16">
        <v>41644</v>
      </c>
      <c r="F59" s="16">
        <v>42369</v>
      </c>
      <c r="G59" s="13">
        <v>1328.91</v>
      </c>
      <c r="H59" s="16">
        <v>42369</v>
      </c>
      <c r="I59" s="13">
        <v>769.96</v>
      </c>
      <c r="J59" s="13">
        <f t="shared" si="1"/>
        <v>962.45</v>
      </c>
      <c r="K59" s="6"/>
    </row>
    <row r="60" spans="1:11" ht="24" x14ac:dyDescent="0.25">
      <c r="A60" s="3">
        <v>53</v>
      </c>
      <c r="B60" s="14" t="s">
        <v>31</v>
      </c>
      <c r="C60" s="15" t="str">
        <f>"140011"</f>
        <v>140011</v>
      </c>
      <c r="D60" s="15" t="str">
        <f t="shared" si="0"/>
        <v>GEN-I ZAGREB D.O.O.</v>
      </c>
      <c r="E60" s="16">
        <v>41613</v>
      </c>
      <c r="F60" s="16">
        <v>42369</v>
      </c>
      <c r="G60" s="13">
        <v>638181.19999999995</v>
      </c>
      <c r="H60" s="16">
        <v>42369</v>
      </c>
      <c r="I60" s="40">
        <v>0</v>
      </c>
      <c r="J60" s="40">
        <f t="shared" si="1"/>
        <v>0</v>
      </c>
      <c r="K60" s="6"/>
    </row>
    <row r="61" spans="1:11" x14ac:dyDescent="0.25">
      <c r="A61" s="3">
        <v>54</v>
      </c>
      <c r="B61" s="14" t="s">
        <v>400</v>
      </c>
      <c r="C61" s="15" t="str">
        <f>"140065"</f>
        <v>140065</v>
      </c>
      <c r="D61" s="15" t="str">
        <f t="shared" si="0"/>
        <v>GEN-I ZAGREB D.O.O.</v>
      </c>
      <c r="E61" s="16">
        <v>41623</v>
      </c>
      <c r="F61" s="16">
        <v>42369</v>
      </c>
      <c r="G61" s="13">
        <v>5782.95</v>
      </c>
      <c r="H61" s="16">
        <v>42369</v>
      </c>
      <c r="I61" s="40">
        <v>0</v>
      </c>
      <c r="J61" s="40">
        <f t="shared" si="1"/>
        <v>0</v>
      </c>
      <c r="K61" s="6"/>
    </row>
    <row r="62" spans="1:11" x14ac:dyDescent="0.25">
      <c r="A62" s="3">
        <v>55</v>
      </c>
      <c r="B62" s="14" t="s">
        <v>279</v>
      </c>
      <c r="C62" s="15" t="str">
        <f>"140021"</f>
        <v>140021</v>
      </c>
      <c r="D62" s="15" t="str">
        <f t="shared" si="0"/>
        <v>GEN-I ZAGREB D.O.O.</v>
      </c>
      <c r="E62" s="16">
        <v>41615</v>
      </c>
      <c r="F62" s="16">
        <v>42369</v>
      </c>
      <c r="G62" s="13">
        <v>49705.15</v>
      </c>
      <c r="H62" s="16">
        <v>42369</v>
      </c>
      <c r="I62" s="13">
        <v>27888</v>
      </c>
      <c r="J62" s="13">
        <f t="shared" si="1"/>
        <v>34860</v>
      </c>
      <c r="K62" s="6"/>
    </row>
    <row r="63" spans="1:11" ht="36" x14ac:dyDescent="0.25">
      <c r="A63" s="3">
        <v>56</v>
      </c>
      <c r="B63" s="14" t="s">
        <v>59</v>
      </c>
      <c r="C63" s="15" t="str">
        <f>"140128"</f>
        <v>140128</v>
      </c>
      <c r="D63" s="15" t="str">
        <f t="shared" si="0"/>
        <v>GEN-I ZAGREB D.O.O.</v>
      </c>
      <c r="E63" s="16">
        <v>41621</v>
      </c>
      <c r="F63" s="16">
        <v>42369</v>
      </c>
      <c r="G63" s="13">
        <v>6767.02</v>
      </c>
      <c r="H63" s="16">
        <v>42369</v>
      </c>
      <c r="I63" s="13">
        <v>2220.34</v>
      </c>
      <c r="J63" s="13">
        <f t="shared" si="1"/>
        <v>2775.4250000000002</v>
      </c>
      <c r="K63" s="6"/>
    </row>
    <row r="64" spans="1:11" ht="24" x14ac:dyDescent="0.25">
      <c r="A64" s="3">
        <v>57</v>
      </c>
      <c r="B64" s="14" t="s">
        <v>350</v>
      </c>
      <c r="C64" s="15" t="str">
        <f>"140115"</f>
        <v>140115</v>
      </c>
      <c r="D64" s="15" t="str">
        <f t="shared" si="0"/>
        <v>GEN-I ZAGREB D.O.O.</v>
      </c>
      <c r="E64" s="16">
        <v>41622</v>
      </c>
      <c r="F64" s="16">
        <v>42369</v>
      </c>
      <c r="G64" s="13">
        <v>10802.28</v>
      </c>
      <c r="H64" s="16">
        <v>42369</v>
      </c>
      <c r="I64" s="13">
        <v>6668.31</v>
      </c>
      <c r="J64" s="13">
        <f t="shared" si="1"/>
        <v>8335.3875000000007</v>
      </c>
      <c r="K64" s="6"/>
    </row>
    <row r="65" spans="1:11" ht="24" x14ac:dyDescent="0.25">
      <c r="A65" s="3">
        <v>58</v>
      </c>
      <c r="B65" s="14" t="s">
        <v>345</v>
      </c>
      <c r="C65" s="15" t="str">
        <f>"140150"</f>
        <v>140150</v>
      </c>
      <c r="D65" s="15" t="str">
        <f t="shared" si="0"/>
        <v>GEN-I ZAGREB D.O.O.</v>
      </c>
      <c r="E65" s="16">
        <v>41617</v>
      </c>
      <c r="F65" s="16">
        <v>42369</v>
      </c>
      <c r="G65" s="13">
        <v>37594.32</v>
      </c>
      <c r="H65" s="16">
        <v>42369</v>
      </c>
      <c r="I65" s="13">
        <v>17397.53</v>
      </c>
      <c r="J65" s="13">
        <f t="shared" si="1"/>
        <v>21746.912499999999</v>
      </c>
      <c r="K65" s="6"/>
    </row>
    <row r="66" spans="1:11" x14ac:dyDescent="0.25">
      <c r="A66" s="3">
        <v>59</v>
      </c>
      <c r="B66" s="14" t="s">
        <v>196</v>
      </c>
      <c r="C66" s="15" t="str">
        <f>"140044"</f>
        <v>140044</v>
      </c>
      <c r="D66" s="15" t="str">
        <f t="shared" si="0"/>
        <v>GEN-I ZAGREB D.O.O.</v>
      </c>
      <c r="E66" s="16">
        <v>41623</v>
      </c>
      <c r="F66" s="16">
        <v>42369</v>
      </c>
      <c r="G66" s="13">
        <v>276008.33</v>
      </c>
      <c r="H66" s="16">
        <v>42369</v>
      </c>
      <c r="I66" s="13">
        <v>118862.06</v>
      </c>
      <c r="J66" s="13">
        <f t="shared" si="1"/>
        <v>148577.57500000001</v>
      </c>
      <c r="K66" s="6"/>
    </row>
    <row r="67" spans="1:11" x14ac:dyDescent="0.25">
      <c r="A67" s="3">
        <v>60</v>
      </c>
      <c r="B67" s="14" t="s">
        <v>401</v>
      </c>
      <c r="C67" s="15" t="str">
        <f>"140022"</f>
        <v>140022</v>
      </c>
      <c r="D67" s="15" t="str">
        <f t="shared" si="0"/>
        <v>GEN-I ZAGREB D.O.O.</v>
      </c>
      <c r="E67" s="16">
        <v>41612</v>
      </c>
      <c r="F67" s="16">
        <v>42369</v>
      </c>
      <c r="G67" s="13">
        <v>5127.37</v>
      </c>
      <c r="H67" s="16">
        <v>42369</v>
      </c>
      <c r="I67" s="13">
        <v>2575.04</v>
      </c>
      <c r="J67" s="13">
        <f t="shared" si="1"/>
        <v>3218.8</v>
      </c>
      <c r="K67" s="6"/>
    </row>
    <row r="68" spans="1:11" x14ac:dyDescent="0.25">
      <c r="A68" s="3">
        <v>61</v>
      </c>
      <c r="B68" s="14" t="s">
        <v>258</v>
      </c>
      <c r="C68" s="15" t="str">
        <f>"140017"</f>
        <v>140017</v>
      </c>
      <c r="D68" s="15" t="str">
        <f t="shared" si="0"/>
        <v>GEN-I ZAGREB D.O.O.</v>
      </c>
      <c r="E68" s="16">
        <v>41625</v>
      </c>
      <c r="F68" s="16">
        <v>42369</v>
      </c>
      <c r="G68" s="13">
        <v>15914.04</v>
      </c>
      <c r="H68" s="16">
        <v>42369</v>
      </c>
      <c r="I68" s="13">
        <v>79960.37</v>
      </c>
      <c r="J68" s="13">
        <f t="shared" si="1"/>
        <v>99950.462499999994</v>
      </c>
      <c r="K68" s="6"/>
    </row>
    <row r="69" spans="1:11" x14ac:dyDescent="0.25">
      <c r="A69" s="3">
        <v>62</v>
      </c>
      <c r="B69" s="14" t="s">
        <v>402</v>
      </c>
      <c r="C69" s="15" t="str">
        <f>"140105"</f>
        <v>140105</v>
      </c>
      <c r="D69" s="15" t="str">
        <f t="shared" ref="D69:D130" si="2">CONCATENATE("GEN-I ZAGREB D.O.O.")</f>
        <v>GEN-I ZAGREB D.O.O.</v>
      </c>
      <c r="E69" s="16">
        <v>41624</v>
      </c>
      <c r="F69" s="16">
        <v>42369</v>
      </c>
      <c r="G69" s="13">
        <v>136261.1</v>
      </c>
      <c r="H69" s="16">
        <v>42369</v>
      </c>
      <c r="I69" s="13">
        <v>76097.75</v>
      </c>
      <c r="J69" s="13">
        <f t="shared" si="1"/>
        <v>95122.1875</v>
      </c>
      <c r="K69" s="6"/>
    </row>
    <row r="70" spans="1:11" x14ac:dyDescent="0.25">
      <c r="A70" s="3">
        <v>63</v>
      </c>
      <c r="B70" s="14" t="s">
        <v>69</v>
      </c>
      <c r="C70" s="15" t="str">
        <f>"140047"</f>
        <v>140047</v>
      </c>
      <c r="D70" s="15" t="str">
        <f t="shared" si="2"/>
        <v>GEN-I ZAGREB D.O.O.</v>
      </c>
      <c r="E70" s="16">
        <v>41610</v>
      </c>
      <c r="F70" s="16">
        <v>42369</v>
      </c>
      <c r="G70" s="13">
        <v>94320.1</v>
      </c>
      <c r="H70" s="16">
        <v>42369</v>
      </c>
      <c r="I70" s="13">
        <v>49076.04</v>
      </c>
      <c r="J70" s="13">
        <f t="shared" ref="J70:J131" si="3">I70*1.25</f>
        <v>61345.05</v>
      </c>
      <c r="K70" s="6"/>
    </row>
    <row r="71" spans="1:11" x14ac:dyDescent="0.25">
      <c r="A71" s="3">
        <v>64</v>
      </c>
      <c r="B71" s="14" t="s">
        <v>35</v>
      </c>
      <c r="C71" s="15" t="str">
        <f>"140015"</f>
        <v>140015</v>
      </c>
      <c r="D71" s="15" t="str">
        <f t="shared" si="2"/>
        <v>GEN-I ZAGREB D.O.O.</v>
      </c>
      <c r="E71" s="16">
        <v>41620</v>
      </c>
      <c r="F71" s="16">
        <v>42369</v>
      </c>
      <c r="G71" s="13">
        <v>1185999.78</v>
      </c>
      <c r="H71" s="16">
        <v>42369</v>
      </c>
      <c r="I71" s="13">
        <v>1140588.54</v>
      </c>
      <c r="J71" s="13">
        <f t="shared" si="3"/>
        <v>1425735.675</v>
      </c>
      <c r="K71" s="6"/>
    </row>
    <row r="72" spans="1:11" x14ac:dyDescent="0.25">
      <c r="A72" s="3">
        <v>65</v>
      </c>
      <c r="B72" s="14" t="s">
        <v>272</v>
      </c>
      <c r="C72" s="15" t="str">
        <f>"140156"</f>
        <v>140156</v>
      </c>
      <c r="D72" s="15" t="str">
        <f t="shared" si="2"/>
        <v>GEN-I ZAGREB D.O.O.</v>
      </c>
      <c r="E72" s="16">
        <v>41617</v>
      </c>
      <c r="F72" s="16">
        <v>42369</v>
      </c>
      <c r="G72" s="13">
        <v>148361.60000000001</v>
      </c>
      <c r="H72" s="16">
        <v>42369</v>
      </c>
      <c r="I72" s="13">
        <v>320006.67</v>
      </c>
      <c r="J72" s="13">
        <f t="shared" si="3"/>
        <v>400008.33749999997</v>
      </c>
      <c r="K72" s="6"/>
    </row>
    <row r="73" spans="1:11" ht="24" x14ac:dyDescent="0.25">
      <c r="A73" s="3">
        <v>66</v>
      </c>
      <c r="B73" s="14" t="s">
        <v>254</v>
      </c>
      <c r="C73" s="15" t="str">
        <f>"140067"</f>
        <v>140067</v>
      </c>
      <c r="D73" s="15" t="str">
        <f t="shared" si="2"/>
        <v>GEN-I ZAGREB D.O.O.</v>
      </c>
      <c r="E73" s="16">
        <v>41615</v>
      </c>
      <c r="F73" s="16">
        <v>42369</v>
      </c>
      <c r="G73" s="13">
        <v>9625.59</v>
      </c>
      <c r="H73" s="16">
        <v>42369</v>
      </c>
      <c r="I73" s="13">
        <v>3389.57</v>
      </c>
      <c r="J73" s="13">
        <f t="shared" si="3"/>
        <v>4236.9625000000005</v>
      </c>
      <c r="K73" s="6"/>
    </row>
    <row r="74" spans="1:11" ht="24" x14ac:dyDescent="0.25">
      <c r="A74" s="3">
        <v>67</v>
      </c>
      <c r="B74" s="14" t="s">
        <v>403</v>
      </c>
      <c r="C74" s="15" t="str">
        <f>"140104"</f>
        <v>140104</v>
      </c>
      <c r="D74" s="15" t="str">
        <f t="shared" si="2"/>
        <v>GEN-I ZAGREB D.O.O.</v>
      </c>
      <c r="E74" s="16">
        <v>41624</v>
      </c>
      <c r="F74" s="16">
        <v>42369</v>
      </c>
      <c r="G74" s="13">
        <v>7071.85</v>
      </c>
      <c r="H74" s="16">
        <v>42369</v>
      </c>
      <c r="I74" s="13">
        <v>2934.96</v>
      </c>
      <c r="J74" s="13">
        <f t="shared" si="3"/>
        <v>3668.7</v>
      </c>
      <c r="K74" s="6"/>
    </row>
    <row r="75" spans="1:11" ht="36" x14ac:dyDescent="0.25">
      <c r="A75" s="3">
        <v>68</v>
      </c>
      <c r="B75" s="14" t="s">
        <v>404</v>
      </c>
      <c r="C75" s="15" t="str">
        <f>"140117"</f>
        <v>140117</v>
      </c>
      <c r="D75" s="15" t="str">
        <f t="shared" si="2"/>
        <v>GEN-I ZAGREB D.O.O.</v>
      </c>
      <c r="E75" s="16">
        <v>41623</v>
      </c>
      <c r="F75" s="16">
        <v>42369</v>
      </c>
      <c r="G75" s="13">
        <v>12159.36</v>
      </c>
      <c r="H75" s="16">
        <v>42369</v>
      </c>
      <c r="I75" s="13">
        <v>6601.3</v>
      </c>
      <c r="J75" s="13">
        <f t="shared" si="3"/>
        <v>8251.625</v>
      </c>
      <c r="K75" s="6"/>
    </row>
    <row r="76" spans="1:11" ht="24" x14ac:dyDescent="0.25">
      <c r="A76" s="3">
        <v>69</v>
      </c>
      <c r="B76" s="14" t="s">
        <v>322</v>
      </c>
      <c r="C76" s="15" t="str">
        <f>"140036"</f>
        <v>140036</v>
      </c>
      <c r="D76" s="15" t="str">
        <f t="shared" si="2"/>
        <v>GEN-I ZAGREB D.O.O.</v>
      </c>
      <c r="E76" s="16">
        <v>41620</v>
      </c>
      <c r="F76" s="16">
        <v>42369</v>
      </c>
      <c r="G76" s="13">
        <v>12210.33</v>
      </c>
      <c r="H76" s="16">
        <v>42369</v>
      </c>
      <c r="I76" s="13">
        <v>5742.4</v>
      </c>
      <c r="J76" s="13">
        <f t="shared" si="3"/>
        <v>7178</v>
      </c>
      <c r="K76" s="6"/>
    </row>
    <row r="77" spans="1:11" x14ac:dyDescent="0.25">
      <c r="A77" s="3">
        <v>70</v>
      </c>
      <c r="B77" s="14" t="s">
        <v>276</v>
      </c>
      <c r="C77" s="15" t="str">
        <f>"140060"</f>
        <v>140060</v>
      </c>
      <c r="D77" s="15" t="str">
        <f t="shared" si="2"/>
        <v>GEN-I ZAGREB D.O.O.</v>
      </c>
      <c r="E77" s="16">
        <v>41615</v>
      </c>
      <c r="F77" s="16">
        <v>42369</v>
      </c>
      <c r="G77" s="13">
        <v>369691.29</v>
      </c>
      <c r="H77" s="16">
        <v>42369</v>
      </c>
      <c r="I77" s="13">
        <v>216941</v>
      </c>
      <c r="J77" s="13">
        <f t="shared" si="3"/>
        <v>271176.25</v>
      </c>
      <c r="K77" s="6"/>
    </row>
    <row r="78" spans="1:11" x14ac:dyDescent="0.25">
      <c r="A78" s="3">
        <v>71</v>
      </c>
      <c r="B78" s="14" t="s">
        <v>186</v>
      </c>
      <c r="C78" s="15" t="str">
        <f>"140114"</f>
        <v>140114</v>
      </c>
      <c r="D78" s="15" t="str">
        <f t="shared" si="2"/>
        <v>GEN-I ZAGREB D.O.O.</v>
      </c>
      <c r="E78" s="16">
        <v>41622</v>
      </c>
      <c r="F78" s="16">
        <v>42369</v>
      </c>
      <c r="G78" s="13">
        <v>104375.57</v>
      </c>
      <c r="H78" s="16">
        <v>42369</v>
      </c>
      <c r="I78" s="13">
        <v>64035.519999999997</v>
      </c>
      <c r="J78" s="13">
        <f t="shared" si="3"/>
        <v>80044.399999999994</v>
      </c>
      <c r="K78" s="6"/>
    </row>
    <row r="79" spans="1:11" x14ac:dyDescent="0.25">
      <c r="A79" s="3">
        <v>72</v>
      </c>
      <c r="B79" s="14" t="s">
        <v>36</v>
      </c>
      <c r="C79" s="15" t="str">
        <f>"140004"</f>
        <v>140004</v>
      </c>
      <c r="D79" s="15" t="str">
        <f t="shared" si="2"/>
        <v>GEN-I ZAGREB D.O.O.</v>
      </c>
      <c r="E79" s="16">
        <v>41624</v>
      </c>
      <c r="F79" s="16">
        <v>42369</v>
      </c>
      <c r="G79" s="13">
        <v>538558.43999999994</v>
      </c>
      <c r="H79" s="16">
        <v>42369</v>
      </c>
      <c r="I79" s="13">
        <v>610333.82999999996</v>
      </c>
      <c r="J79" s="13">
        <f t="shared" si="3"/>
        <v>762917.28749999998</v>
      </c>
      <c r="K79" s="6"/>
    </row>
    <row r="80" spans="1:11" ht="24" x14ac:dyDescent="0.25">
      <c r="A80" s="3">
        <v>73</v>
      </c>
      <c r="B80" s="14" t="s">
        <v>185</v>
      </c>
      <c r="C80" s="15" t="str">
        <f>"140059"</f>
        <v>140059</v>
      </c>
      <c r="D80" s="15" t="str">
        <f t="shared" si="2"/>
        <v>GEN-I ZAGREB D.O.O.</v>
      </c>
      <c r="E80" s="16">
        <v>41614</v>
      </c>
      <c r="F80" s="16">
        <v>42369</v>
      </c>
      <c r="G80" s="13">
        <v>38231.230000000003</v>
      </c>
      <c r="H80" s="16">
        <v>42369</v>
      </c>
      <c r="I80" s="13">
        <v>21491.439999999999</v>
      </c>
      <c r="J80" s="13">
        <f t="shared" si="3"/>
        <v>26864.3</v>
      </c>
      <c r="K80" s="6"/>
    </row>
    <row r="81" spans="1:11" x14ac:dyDescent="0.25">
      <c r="A81" s="3">
        <v>74</v>
      </c>
      <c r="B81" s="14" t="s">
        <v>405</v>
      </c>
      <c r="C81" s="15" t="str">
        <f>"140154"</f>
        <v>140154</v>
      </c>
      <c r="D81" s="15" t="str">
        <f t="shared" si="2"/>
        <v>GEN-I ZAGREB D.O.O.</v>
      </c>
      <c r="E81" s="16">
        <v>41619</v>
      </c>
      <c r="F81" s="16">
        <v>42369</v>
      </c>
      <c r="G81" s="13">
        <v>4488.5200000000004</v>
      </c>
      <c r="H81" s="16">
        <v>42369</v>
      </c>
      <c r="I81" s="13">
        <v>0</v>
      </c>
      <c r="J81" s="13">
        <f t="shared" si="3"/>
        <v>0</v>
      </c>
      <c r="K81" s="6"/>
    </row>
    <row r="82" spans="1:11" x14ac:dyDescent="0.25">
      <c r="A82" s="3">
        <v>75</v>
      </c>
      <c r="B82" s="14" t="s">
        <v>319</v>
      </c>
      <c r="C82" s="15" t="str">
        <f>"140027"</f>
        <v>140027</v>
      </c>
      <c r="D82" s="15" t="str">
        <f t="shared" si="2"/>
        <v>GEN-I ZAGREB D.O.O.</v>
      </c>
      <c r="E82" s="16">
        <v>41613</v>
      </c>
      <c r="F82" s="16">
        <v>42369</v>
      </c>
      <c r="G82" s="13">
        <v>115166.91</v>
      </c>
      <c r="H82" s="16">
        <v>42369</v>
      </c>
      <c r="I82" s="13">
        <v>60076.639999999999</v>
      </c>
      <c r="J82" s="13">
        <f t="shared" si="3"/>
        <v>75095.8</v>
      </c>
      <c r="K82" s="6"/>
    </row>
    <row r="83" spans="1:11" x14ac:dyDescent="0.25">
      <c r="A83" s="3">
        <v>76</v>
      </c>
      <c r="B83" s="14" t="s">
        <v>65</v>
      </c>
      <c r="C83" s="15" t="str">
        <f>"140086"</f>
        <v>140086</v>
      </c>
      <c r="D83" s="15" t="str">
        <f t="shared" si="2"/>
        <v>GEN-I ZAGREB D.O.O.</v>
      </c>
      <c r="E83" s="16">
        <v>41616</v>
      </c>
      <c r="F83" s="16">
        <v>42369</v>
      </c>
      <c r="G83" s="13">
        <v>657358.62</v>
      </c>
      <c r="H83" s="16">
        <v>42369</v>
      </c>
      <c r="I83" s="13">
        <v>358806.53</v>
      </c>
      <c r="J83" s="13">
        <f t="shared" si="3"/>
        <v>448508.16250000003</v>
      </c>
      <c r="K83" s="6"/>
    </row>
    <row r="84" spans="1:11" x14ac:dyDescent="0.25">
      <c r="A84" s="3">
        <v>77</v>
      </c>
      <c r="B84" s="14" t="s">
        <v>53</v>
      </c>
      <c r="C84" s="15" t="str">
        <f>"140099"</f>
        <v>140099</v>
      </c>
      <c r="D84" s="15" t="str">
        <f t="shared" si="2"/>
        <v>GEN-I ZAGREB D.O.O.</v>
      </c>
      <c r="E84" s="16">
        <v>41615</v>
      </c>
      <c r="F84" s="16">
        <v>42369</v>
      </c>
      <c r="G84" s="13">
        <v>65191.93</v>
      </c>
      <c r="H84" s="16">
        <v>42369</v>
      </c>
      <c r="I84" s="13">
        <v>38070.199999999997</v>
      </c>
      <c r="J84" s="13">
        <f t="shared" si="3"/>
        <v>47587.75</v>
      </c>
      <c r="K84" s="6"/>
    </row>
    <row r="85" spans="1:11" x14ac:dyDescent="0.25">
      <c r="A85" s="3">
        <v>78</v>
      </c>
      <c r="B85" s="14" t="s">
        <v>68</v>
      </c>
      <c r="C85" s="15" t="str">
        <f>"140138"</f>
        <v>140138</v>
      </c>
      <c r="D85" s="15" t="str">
        <f t="shared" si="2"/>
        <v>GEN-I ZAGREB D.O.O.</v>
      </c>
      <c r="E85" s="16">
        <v>41618</v>
      </c>
      <c r="F85" s="16">
        <v>42369</v>
      </c>
      <c r="G85" s="13">
        <v>57940.69</v>
      </c>
      <c r="H85" s="16">
        <v>42369</v>
      </c>
      <c r="I85" s="13">
        <v>28712.78</v>
      </c>
      <c r="J85" s="13">
        <f t="shared" si="3"/>
        <v>35890.974999999999</v>
      </c>
      <c r="K85" s="6"/>
    </row>
    <row r="86" spans="1:11" ht="24" x14ac:dyDescent="0.25">
      <c r="A86" s="3">
        <v>79</v>
      </c>
      <c r="B86" s="14" t="s">
        <v>238</v>
      </c>
      <c r="C86" s="15" t="str">
        <f>"140134"</f>
        <v>140134</v>
      </c>
      <c r="D86" s="15" t="str">
        <f t="shared" si="2"/>
        <v>GEN-I ZAGREB D.O.O.</v>
      </c>
      <c r="E86" s="16">
        <v>41618</v>
      </c>
      <c r="F86" s="16">
        <v>42369</v>
      </c>
      <c r="G86" s="13">
        <v>42893.32</v>
      </c>
      <c r="H86" s="16">
        <v>42369</v>
      </c>
      <c r="I86" s="13">
        <v>18292.62</v>
      </c>
      <c r="J86" s="13">
        <f t="shared" si="3"/>
        <v>22865.774999999998</v>
      </c>
      <c r="K86" s="6"/>
    </row>
    <row r="87" spans="1:11" x14ac:dyDescent="0.25">
      <c r="A87" s="3">
        <v>80</v>
      </c>
      <c r="B87" s="14" t="s">
        <v>275</v>
      </c>
      <c r="C87" s="15" t="str">
        <f>"140006"</f>
        <v>140006</v>
      </c>
      <c r="D87" s="15" t="str">
        <f t="shared" si="2"/>
        <v>GEN-I ZAGREB D.O.O.</v>
      </c>
      <c r="E87" s="16">
        <v>41616</v>
      </c>
      <c r="F87" s="16">
        <v>42369</v>
      </c>
      <c r="G87" s="13">
        <v>279744.84999999998</v>
      </c>
      <c r="H87" s="16">
        <v>42369</v>
      </c>
      <c r="I87" s="13">
        <v>167813.3</v>
      </c>
      <c r="J87" s="13">
        <f t="shared" si="3"/>
        <v>209766.625</v>
      </c>
      <c r="K87" s="6"/>
    </row>
    <row r="88" spans="1:11" ht="24" x14ac:dyDescent="0.25">
      <c r="A88" s="3">
        <v>81</v>
      </c>
      <c r="B88" s="14" t="s">
        <v>61</v>
      </c>
      <c r="C88" s="15" t="str">
        <f>"140007"</f>
        <v>140007</v>
      </c>
      <c r="D88" s="15" t="str">
        <f t="shared" si="2"/>
        <v>GEN-I ZAGREB D.O.O.</v>
      </c>
      <c r="E88" s="16">
        <v>41612</v>
      </c>
      <c r="F88" s="16">
        <v>42369</v>
      </c>
      <c r="G88" s="13">
        <v>122182</v>
      </c>
      <c r="H88" s="16">
        <v>42369</v>
      </c>
      <c r="I88" s="13">
        <v>66663.62</v>
      </c>
      <c r="J88" s="13">
        <f t="shared" si="3"/>
        <v>83329.524999999994</v>
      </c>
      <c r="K88" s="6"/>
    </row>
    <row r="89" spans="1:11" x14ac:dyDescent="0.25">
      <c r="A89" s="3">
        <v>82</v>
      </c>
      <c r="B89" s="14" t="s">
        <v>282</v>
      </c>
      <c r="C89" s="15" t="str">
        <f>"6/2013-VPS"</f>
        <v>6/2013-VPS</v>
      </c>
      <c r="D89" s="15" t="str">
        <f t="shared" si="2"/>
        <v>GEN-I ZAGREB D.O.O.</v>
      </c>
      <c r="E89" s="16">
        <v>41614</v>
      </c>
      <c r="F89" s="16">
        <v>42369</v>
      </c>
      <c r="G89" s="13">
        <v>74250.850000000006</v>
      </c>
      <c r="H89" s="16">
        <v>42369</v>
      </c>
      <c r="I89" s="13">
        <v>37727.9</v>
      </c>
      <c r="J89" s="13">
        <f t="shared" si="3"/>
        <v>47159.875</v>
      </c>
      <c r="K89" s="6"/>
    </row>
    <row r="90" spans="1:11" x14ac:dyDescent="0.25">
      <c r="A90" s="3">
        <v>83</v>
      </c>
      <c r="B90" s="14" t="s">
        <v>273</v>
      </c>
      <c r="C90" s="15" t="str">
        <f>"140129"</f>
        <v>140129</v>
      </c>
      <c r="D90" s="15" t="str">
        <f t="shared" si="2"/>
        <v>GEN-I ZAGREB D.O.O.</v>
      </c>
      <c r="E90" s="16">
        <v>41617</v>
      </c>
      <c r="F90" s="16">
        <v>42369</v>
      </c>
      <c r="G90" s="13">
        <v>22473.4</v>
      </c>
      <c r="H90" s="16">
        <v>42369</v>
      </c>
      <c r="I90" s="13">
        <v>12340.34</v>
      </c>
      <c r="J90" s="13">
        <f t="shared" si="3"/>
        <v>15425.424999999999</v>
      </c>
      <c r="K90" s="6"/>
    </row>
    <row r="91" spans="1:11" ht="24" x14ac:dyDescent="0.25">
      <c r="A91" s="3">
        <v>84</v>
      </c>
      <c r="B91" s="14" t="s">
        <v>82</v>
      </c>
      <c r="C91" s="15" t="str">
        <f>"86/HSPUTEMUZOPA/2013"</f>
        <v>86/HSPUTEMUZOPA/2013</v>
      </c>
      <c r="D91" s="15" t="str">
        <f t="shared" si="2"/>
        <v>GEN-I ZAGREB D.O.O.</v>
      </c>
      <c r="E91" s="16">
        <v>41626</v>
      </c>
      <c r="F91" s="16">
        <v>42369</v>
      </c>
      <c r="G91" s="13">
        <v>1219641</v>
      </c>
      <c r="H91" s="16">
        <v>42369</v>
      </c>
      <c r="I91" s="13">
        <v>686644.7</v>
      </c>
      <c r="J91" s="13">
        <f t="shared" si="3"/>
        <v>858305.875</v>
      </c>
      <c r="K91" s="6"/>
    </row>
    <row r="92" spans="1:11" x14ac:dyDescent="0.25">
      <c r="A92" s="3">
        <v>85</v>
      </c>
      <c r="B92" s="14" t="s">
        <v>383</v>
      </c>
      <c r="C92" s="15" t="str">
        <f>"140101"</f>
        <v>140101</v>
      </c>
      <c r="D92" s="15" t="str">
        <f t="shared" si="2"/>
        <v>GEN-I ZAGREB D.O.O.</v>
      </c>
      <c r="E92" s="16">
        <v>42424</v>
      </c>
      <c r="F92" s="16">
        <v>42369</v>
      </c>
      <c r="G92" s="13">
        <v>84413.93</v>
      </c>
      <c r="H92" s="16">
        <v>42369</v>
      </c>
      <c r="I92" s="13">
        <v>41295.9</v>
      </c>
      <c r="J92" s="13">
        <f t="shared" si="3"/>
        <v>51619.875</v>
      </c>
      <c r="K92" s="6"/>
    </row>
    <row r="93" spans="1:11" x14ac:dyDescent="0.25">
      <c r="A93" s="3">
        <v>86</v>
      </c>
      <c r="B93" s="14" t="s">
        <v>406</v>
      </c>
      <c r="C93" s="15" t="str">
        <f>"140022"</f>
        <v>140022</v>
      </c>
      <c r="D93" s="15" t="str">
        <f t="shared" si="2"/>
        <v>GEN-I ZAGREB D.O.O.</v>
      </c>
      <c r="E93" s="16">
        <v>41640</v>
      </c>
      <c r="F93" s="16">
        <v>42369</v>
      </c>
      <c r="G93" s="13">
        <v>7704.75</v>
      </c>
      <c r="H93" s="16">
        <v>42369</v>
      </c>
      <c r="I93" s="13">
        <v>2575.04</v>
      </c>
      <c r="J93" s="13">
        <f t="shared" si="3"/>
        <v>3218.8</v>
      </c>
      <c r="K93" s="6"/>
    </row>
    <row r="94" spans="1:11" x14ac:dyDescent="0.25">
      <c r="A94" s="3">
        <v>87</v>
      </c>
      <c r="B94" s="14" t="s">
        <v>182</v>
      </c>
      <c r="C94" s="15" t="str">
        <f>"140152"</f>
        <v>140152</v>
      </c>
      <c r="D94" s="15" t="str">
        <f t="shared" si="2"/>
        <v>GEN-I ZAGREB D.O.O.</v>
      </c>
      <c r="E94" s="16">
        <v>41624</v>
      </c>
      <c r="F94" s="16">
        <v>42369</v>
      </c>
      <c r="G94" s="13">
        <v>81495.740000000005</v>
      </c>
      <c r="H94" s="16">
        <v>42369</v>
      </c>
      <c r="I94" s="13">
        <v>206457.55</v>
      </c>
      <c r="J94" s="13">
        <f t="shared" si="3"/>
        <v>258071.9375</v>
      </c>
      <c r="K94" s="6"/>
    </row>
    <row r="95" spans="1:11" x14ac:dyDescent="0.25">
      <c r="A95" s="3">
        <v>88</v>
      </c>
      <c r="B95" s="14" t="s">
        <v>407</v>
      </c>
      <c r="C95" s="15" t="str">
        <f>"140106"</f>
        <v>140106</v>
      </c>
      <c r="D95" s="15" t="str">
        <f t="shared" si="2"/>
        <v>GEN-I ZAGREB D.O.O.</v>
      </c>
      <c r="E95" s="16">
        <v>41586</v>
      </c>
      <c r="F95" s="16">
        <v>42369</v>
      </c>
      <c r="G95" s="13">
        <v>23857</v>
      </c>
      <c r="H95" s="16">
        <v>42369</v>
      </c>
      <c r="I95" s="13">
        <v>26544</v>
      </c>
      <c r="J95" s="13">
        <f t="shared" si="3"/>
        <v>33180</v>
      </c>
      <c r="K95" s="6"/>
    </row>
    <row r="96" spans="1:11" ht="36" x14ac:dyDescent="0.25">
      <c r="A96" s="3">
        <v>89</v>
      </c>
      <c r="B96" s="14" t="s">
        <v>34</v>
      </c>
      <c r="C96" s="15" t="str">
        <f>"85 / UZOP / 2013"</f>
        <v>85 / UZOP / 2013</v>
      </c>
      <c r="D96" s="15" t="str">
        <f t="shared" si="2"/>
        <v>GEN-I ZAGREB D.O.O.</v>
      </c>
      <c r="E96" s="16">
        <v>41626</v>
      </c>
      <c r="F96" s="16">
        <v>42369</v>
      </c>
      <c r="G96" s="13">
        <v>115190.74</v>
      </c>
      <c r="H96" s="16">
        <v>42369</v>
      </c>
      <c r="I96" s="13">
        <v>60308.63</v>
      </c>
      <c r="J96" s="13">
        <f t="shared" si="3"/>
        <v>75385.787499999991</v>
      </c>
      <c r="K96" s="6"/>
    </row>
    <row r="97" spans="1:11" ht="24" x14ac:dyDescent="0.25">
      <c r="A97" s="3">
        <v>90</v>
      </c>
      <c r="B97" s="14" t="s">
        <v>101</v>
      </c>
      <c r="C97" s="15" t="str">
        <f>"140113"</f>
        <v>140113</v>
      </c>
      <c r="D97" s="15" t="str">
        <f t="shared" si="2"/>
        <v>GEN-I ZAGREB D.O.O.</v>
      </c>
      <c r="E97" s="16">
        <v>41619</v>
      </c>
      <c r="F97" s="16">
        <v>42369</v>
      </c>
      <c r="G97" s="13">
        <v>6060.63</v>
      </c>
      <c r="H97" s="16">
        <v>42369</v>
      </c>
      <c r="I97" s="13">
        <v>3582.88</v>
      </c>
      <c r="J97" s="13">
        <f t="shared" si="3"/>
        <v>4478.6000000000004</v>
      </c>
      <c r="K97" s="6"/>
    </row>
    <row r="98" spans="1:11" ht="24" x14ac:dyDescent="0.25">
      <c r="A98" s="3">
        <v>91</v>
      </c>
      <c r="B98" s="14" t="s">
        <v>55</v>
      </c>
      <c r="C98" s="15" t="str">
        <f>"91-9-13-1"</f>
        <v>91-9-13-1</v>
      </c>
      <c r="D98" s="15" t="str">
        <f t="shared" si="2"/>
        <v>GEN-I ZAGREB D.O.O.</v>
      </c>
      <c r="E98" s="16">
        <v>41627</v>
      </c>
      <c r="F98" s="16">
        <v>42369</v>
      </c>
      <c r="G98" s="13">
        <v>2104179.9300000002</v>
      </c>
      <c r="H98" s="16">
        <v>42369</v>
      </c>
      <c r="I98" s="13">
        <v>1190271.8999999999</v>
      </c>
      <c r="J98" s="13">
        <f t="shared" si="3"/>
        <v>1487839.875</v>
      </c>
      <c r="K98" s="6"/>
    </row>
    <row r="99" spans="1:11" x14ac:dyDescent="0.25">
      <c r="A99" s="3">
        <v>92</v>
      </c>
      <c r="B99" s="14"/>
      <c r="C99" s="15" t="str">
        <f>"140168"</f>
        <v>140168</v>
      </c>
      <c r="D99" s="15" t="str">
        <f t="shared" si="2"/>
        <v>GEN-I ZAGREB D.O.O.</v>
      </c>
      <c r="E99" s="16">
        <v>41631</v>
      </c>
      <c r="F99" s="16">
        <v>42094</v>
      </c>
      <c r="G99" s="13">
        <v>3700.87</v>
      </c>
      <c r="H99" s="16">
        <v>42094</v>
      </c>
      <c r="I99" s="13">
        <v>643.94000000000005</v>
      </c>
      <c r="J99" s="13">
        <f t="shared" si="3"/>
        <v>804.92500000000007</v>
      </c>
      <c r="K99" s="6"/>
    </row>
    <row r="100" spans="1:11" x14ac:dyDescent="0.25">
      <c r="A100" s="3">
        <v>93</v>
      </c>
      <c r="B100" s="14" t="s">
        <v>355</v>
      </c>
      <c r="C100" s="15" t="str">
        <f>"41 SU 236/2013"</f>
        <v>41 SU 236/2013</v>
      </c>
      <c r="D100" s="15" t="str">
        <f t="shared" si="2"/>
        <v>GEN-I ZAGREB D.O.O.</v>
      </c>
      <c r="E100" s="16">
        <v>41616</v>
      </c>
      <c r="F100" s="16">
        <v>42369</v>
      </c>
      <c r="G100" s="13">
        <v>137447.35999999999</v>
      </c>
      <c r="H100" s="16">
        <v>42369</v>
      </c>
      <c r="I100" s="13">
        <v>137447.35999999999</v>
      </c>
      <c r="J100" s="13">
        <f t="shared" si="3"/>
        <v>171809.19999999998</v>
      </c>
      <c r="K100" s="6"/>
    </row>
    <row r="101" spans="1:11" x14ac:dyDescent="0.25">
      <c r="A101" s="3">
        <v>94</v>
      </c>
      <c r="B101" s="14" t="s">
        <v>338</v>
      </c>
      <c r="C101" s="15" t="str">
        <f>"140136"</f>
        <v>140136</v>
      </c>
      <c r="D101" s="15" t="str">
        <f t="shared" si="2"/>
        <v>GEN-I ZAGREB D.O.O.</v>
      </c>
      <c r="E101" s="16">
        <v>41628</v>
      </c>
      <c r="F101" s="16">
        <v>42369</v>
      </c>
      <c r="G101" s="13">
        <v>74444.479999999996</v>
      </c>
      <c r="H101" s="16">
        <v>42369</v>
      </c>
      <c r="I101" s="13">
        <v>12061.83</v>
      </c>
      <c r="J101" s="13">
        <f t="shared" si="3"/>
        <v>15077.2875</v>
      </c>
      <c r="K101" s="6"/>
    </row>
    <row r="102" spans="1:11" x14ac:dyDescent="0.25">
      <c r="A102" s="3">
        <v>95</v>
      </c>
      <c r="B102" s="14" t="s">
        <v>338</v>
      </c>
      <c r="C102" s="15" t="str">
        <f>"140074"</f>
        <v>140074</v>
      </c>
      <c r="D102" s="15" t="str">
        <f t="shared" si="2"/>
        <v>GEN-I ZAGREB D.O.O.</v>
      </c>
      <c r="E102" s="16">
        <v>41600</v>
      </c>
      <c r="F102" s="16">
        <v>42369</v>
      </c>
      <c r="G102" s="13">
        <v>28949.53</v>
      </c>
      <c r="H102" s="16">
        <v>42369</v>
      </c>
      <c r="I102" s="13">
        <v>5721.32</v>
      </c>
      <c r="J102" s="13">
        <f t="shared" si="3"/>
        <v>7151.65</v>
      </c>
      <c r="K102" s="6"/>
    </row>
    <row r="103" spans="1:11" x14ac:dyDescent="0.25">
      <c r="A103" s="3">
        <v>96</v>
      </c>
      <c r="B103" s="14" t="s">
        <v>338</v>
      </c>
      <c r="C103" s="15" t="str">
        <f>"140169"</f>
        <v>140169</v>
      </c>
      <c r="D103" s="15" t="str">
        <f t="shared" si="2"/>
        <v>GEN-I ZAGREB D.O.O.</v>
      </c>
      <c r="E103" s="16">
        <v>41638</v>
      </c>
      <c r="F103" s="16">
        <v>42369</v>
      </c>
      <c r="G103" s="13">
        <v>99648.99</v>
      </c>
      <c r="H103" s="16">
        <v>42369</v>
      </c>
      <c r="I103" s="13">
        <v>15274.11</v>
      </c>
      <c r="J103" s="13">
        <f t="shared" si="3"/>
        <v>19092.637500000001</v>
      </c>
      <c r="K103" s="6"/>
    </row>
    <row r="104" spans="1:11" x14ac:dyDescent="0.25">
      <c r="A104" s="3">
        <v>97</v>
      </c>
      <c r="B104" s="14" t="s">
        <v>338</v>
      </c>
      <c r="C104" s="15" t="str">
        <f>"140042"</f>
        <v>140042</v>
      </c>
      <c r="D104" s="15" t="str">
        <f t="shared" si="2"/>
        <v>GEN-I ZAGREB D.O.O.</v>
      </c>
      <c r="E104" s="16">
        <v>41638</v>
      </c>
      <c r="F104" s="16">
        <v>42369</v>
      </c>
      <c r="G104" s="13">
        <v>33880.57</v>
      </c>
      <c r="H104" s="16">
        <v>42369</v>
      </c>
      <c r="I104" s="13">
        <v>12559.69</v>
      </c>
      <c r="J104" s="13">
        <f t="shared" si="3"/>
        <v>15699.612500000001</v>
      </c>
      <c r="K104" s="6"/>
    </row>
    <row r="105" spans="1:11" x14ac:dyDescent="0.25">
      <c r="A105" s="3">
        <v>98</v>
      </c>
      <c r="B105" s="14" t="s">
        <v>74</v>
      </c>
      <c r="C105" s="15" t="str">
        <f>"140071"</f>
        <v>140071</v>
      </c>
      <c r="D105" s="15" t="str">
        <f t="shared" si="2"/>
        <v>GEN-I ZAGREB D.O.O.</v>
      </c>
      <c r="E105" s="16">
        <v>41604</v>
      </c>
      <c r="F105" s="16">
        <v>42369</v>
      </c>
      <c r="G105" s="13">
        <v>244459.44</v>
      </c>
      <c r="H105" s="16">
        <v>42369</v>
      </c>
      <c r="I105" s="13">
        <v>127378.8</v>
      </c>
      <c r="J105" s="13">
        <f t="shared" si="3"/>
        <v>159223.5</v>
      </c>
      <c r="K105" s="6"/>
    </row>
    <row r="106" spans="1:11" x14ac:dyDescent="0.25">
      <c r="A106" s="3">
        <v>99</v>
      </c>
      <c r="B106" s="14" t="s">
        <v>338</v>
      </c>
      <c r="C106" s="15" t="str">
        <f>"140061"</f>
        <v>140061</v>
      </c>
      <c r="D106" s="15" t="str">
        <f t="shared" si="2"/>
        <v>GEN-I ZAGREB D.O.O.</v>
      </c>
      <c r="E106" s="16">
        <v>41610</v>
      </c>
      <c r="F106" s="16">
        <v>42369</v>
      </c>
      <c r="G106" s="13">
        <v>49606.52</v>
      </c>
      <c r="H106" s="16">
        <v>42369</v>
      </c>
      <c r="I106" s="13">
        <v>8510.41</v>
      </c>
      <c r="J106" s="13">
        <f t="shared" si="3"/>
        <v>10638.012500000001</v>
      </c>
      <c r="K106" s="6"/>
    </row>
    <row r="107" spans="1:11" x14ac:dyDescent="0.25">
      <c r="A107" s="3">
        <v>100</v>
      </c>
      <c r="B107" s="14" t="s">
        <v>182</v>
      </c>
      <c r="C107" s="15" t="str">
        <f>"140038"</f>
        <v>140038</v>
      </c>
      <c r="D107" s="15" t="str">
        <f t="shared" si="2"/>
        <v>GEN-I ZAGREB D.O.O.</v>
      </c>
      <c r="E107" s="16">
        <v>41612</v>
      </c>
      <c r="F107" s="16">
        <v>42369</v>
      </c>
      <c r="G107" s="13">
        <v>53355.8</v>
      </c>
      <c r="H107" s="16">
        <v>42369</v>
      </c>
      <c r="I107" s="13">
        <v>21808.79</v>
      </c>
      <c r="J107" s="13">
        <f t="shared" si="3"/>
        <v>27260.987500000003</v>
      </c>
      <c r="K107" s="6"/>
    </row>
    <row r="108" spans="1:11" x14ac:dyDescent="0.25">
      <c r="A108" s="3">
        <v>101</v>
      </c>
      <c r="B108" s="14" t="s">
        <v>338</v>
      </c>
      <c r="C108" s="15" t="str">
        <f>"140056"</f>
        <v>140056</v>
      </c>
      <c r="D108" s="15" t="str">
        <f t="shared" si="2"/>
        <v>GEN-I ZAGREB D.O.O.</v>
      </c>
      <c r="E108" s="16">
        <v>41638</v>
      </c>
      <c r="F108" s="16">
        <v>42369</v>
      </c>
      <c r="G108" s="13">
        <v>100696.98</v>
      </c>
      <c r="H108" s="16">
        <v>42369</v>
      </c>
      <c r="I108" s="13">
        <v>24055.99</v>
      </c>
      <c r="J108" s="13">
        <f t="shared" si="3"/>
        <v>30069.987500000003</v>
      </c>
      <c r="K108" s="6"/>
    </row>
    <row r="109" spans="1:11" x14ac:dyDescent="0.25">
      <c r="A109" s="3">
        <v>102</v>
      </c>
      <c r="B109" s="14" t="s">
        <v>385</v>
      </c>
      <c r="C109" s="15" t="str">
        <f>"6/2013-KNIN"</f>
        <v>6/2013-KNIN</v>
      </c>
      <c r="D109" s="15" t="str">
        <f t="shared" si="2"/>
        <v>GEN-I ZAGREB D.O.O.</v>
      </c>
      <c r="E109" s="16">
        <v>41586</v>
      </c>
      <c r="F109" s="16">
        <v>42369</v>
      </c>
      <c r="G109" s="13">
        <v>0</v>
      </c>
      <c r="H109" s="16">
        <v>42369</v>
      </c>
      <c r="I109" s="13">
        <v>62637.72</v>
      </c>
      <c r="J109" s="13">
        <f t="shared" si="3"/>
        <v>78297.149999999994</v>
      </c>
      <c r="K109" s="6"/>
    </row>
    <row r="110" spans="1:11" x14ac:dyDescent="0.25">
      <c r="A110" s="3">
        <v>103</v>
      </c>
      <c r="B110" s="14" t="s">
        <v>182</v>
      </c>
      <c r="C110" s="15" t="str">
        <f>"140090"</f>
        <v>140090</v>
      </c>
      <c r="D110" s="15" t="str">
        <f t="shared" si="2"/>
        <v>GEN-I ZAGREB D.O.O.</v>
      </c>
      <c r="E110" s="16">
        <v>41613</v>
      </c>
      <c r="F110" s="16">
        <v>42369</v>
      </c>
      <c r="G110" s="13">
        <v>42865.66</v>
      </c>
      <c r="H110" s="16">
        <v>42369</v>
      </c>
      <c r="I110" s="13">
        <v>12454.59</v>
      </c>
      <c r="J110" s="13">
        <f t="shared" si="3"/>
        <v>15568.237499999999</v>
      </c>
      <c r="K110" s="6"/>
    </row>
    <row r="111" spans="1:11" x14ac:dyDescent="0.25">
      <c r="A111" s="3">
        <v>104</v>
      </c>
      <c r="B111" s="14" t="s">
        <v>182</v>
      </c>
      <c r="C111" s="15" t="str">
        <f>"140055"</f>
        <v>140055</v>
      </c>
      <c r="D111" s="15" t="str">
        <f t="shared" si="2"/>
        <v>GEN-I ZAGREB D.O.O.</v>
      </c>
      <c r="E111" s="16">
        <v>41596</v>
      </c>
      <c r="F111" s="16">
        <v>42369</v>
      </c>
      <c r="G111" s="13">
        <v>20955.89</v>
      </c>
      <c r="H111" s="16">
        <v>42369</v>
      </c>
      <c r="I111" s="13">
        <v>6804.78</v>
      </c>
      <c r="J111" s="13">
        <f t="shared" si="3"/>
        <v>8505.9750000000004</v>
      </c>
      <c r="K111" s="6"/>
    </row>
    <row r="112" spans="1:11" ht="24" x14ac:dyDescent="0.25">
      <c r="A112" s="3">
        <v>105</v>
      </c>
      <c r="B112" s="14" t="s">
        <v>356</v>
      </c>
      <c r="C112" s="15" t="str">
        <f>"140092"</f>
        <v>140092</v>
      </c>
      <c r="D112" s="15" t="str">
        <f t="shared" si="2"/>
        <v>GEN-I ZAGREB D.O.O.</v>
      </c>
      <c r="E112" s="16">
        <v>41586</v>
      </c>
      <c r="F112" s="16">
        <v>42369</v>
      </c>
      <c r="G112" s="13">
        <v>130718.27</v>
      </c>
      <c r="H112" s="16">
        <v>42369</v>
      </c>
      <c r="I112" s="13">
        <v>73743.360000000001</v>
      </c>
      <c r="J112" s="13">
        <f t="shared" si="3"/>
        <v>92179.199999999997</v>
      </c>
      <c r="K112" s="6"/>
    </row>
    <row r="113" spans="1:11" x14ac:dyDescent="0.25">
      <c r="A113" s="3">
        <v>106</v>
      </c>
      <c r="B113" s="14" t="s">
        <v>199</v>
      </c>
      <c r="C113" s="15" t="str">
        <f>"140080"</f>
        <v>140080</v>
      </c>
      <c r="D113" s="15" t="str">
        <f t="shared" si="2"/>
        <v>GEN-I ZAGREB D.O.O.</v>
      </c>
      <c r="E113" s="16">
        <v>41603</v>
      </c>
      <c r="F113" s="16">
        <v>42369</v>
      </c>
      <c r="G113" s="13">
        <v>56103.59</v>
      </c>
      <c r="H113" s="16">
        <v>42369</v>
      </c>
      <c r="I113" s="13">
        <v>9549</v>
      </c>
      <c r="J113" s="13">
        <f t="shared" si="3"/>
        <v>11936.25</v>
      </c>
      <c r="K113" s="6"/>
    </row>
    <row r="114" spans="1:11" x14ac:dyDescent="0.25">
      <c r="A114" s="3">
        <v>107</v>
      </c>
      <c r="B114" s="14" t="s">
        <v>199</v>
      </c>
      <c r="C114" s="15" t="str">
        <f>"140140"</f>
        <v>140140</v>
      </c>
      <c r="D114" s="15" t="str">
        <f t="shared" si="2"/>
        <v>GEN-I ZAGREB D.O.O.</v>
      </c>
      <c r="E114" s="16">
        <v>41606</v>
      </c>
      <c r="F114" s="16">
        <v>42369</v>
      </c>
      <c r="G114" s="13">
        <v>13973.11</v>
      </c>
      <c r="H114" s="16">
        <v>42369</v>
      </c>
      <c r="I114" s="13">
        <v>2102</v>
      </c>
      <c r="J114" s="13">
        <f t="shared" si="3"/>
        <v>2627.5</v>
      </c>
      <c r="K114" s="6"/>
    </row>
    <row r="115" spans="1:11" x14ac:dyDescent="0.25">
      <c r="A115" s="3">
        <v>108</v>
      </c>
      <c r="B115" s="14" t="s">
        <v>199</v>
      </c>
      <c r="C115" s="15" t="str">
        <f>"140048"</f>
        <v>140048</v>
      </c>
      <c r="D115" s="15" t="str">
        <f t="shared" si="2"/>
        <v>GEN-I ZAGREB D.O.O.</v>
      </c>
      <c r="E115" s="16">
        <v>41625</v>
      </c>
      <c r="F115" s="16">
        <v>42369</v>
      </c>
      <c r="G115" s="13">
        <v>78963.23</v>
      </c>
      <c r="H115" s="16">
        <v>42369</v>
      </c>
      <c r="I115" s="13">
        <v>9957</v>
      </c>
      <c r="J115" s="13">
        <f t="shared" si="3"/>
        <v>12446.25</v>
      </c>
      <c r="K115" s="6"/>
    </row>
    <row r="116" spans="1:11" x14ac:dyDescent="0.25">
      <c r="A116" s="3">
        <v>109</v>
      </c>
      <c r="B116" s="14" t="s">
        <v>199</v>
      </c>
      <c r="C116" s="15" t="str">
        <f>"140111"</f>
        <v>140111</v>
      </c>
      <c r="D116" s="15" t="str">
        <f t="shared" si="2"/>
        <v>GEN-I ZAGREB D.O.O.</v>
      </c>
      <c r="E116" s="16">
        <v>41618</v>
      </c>
      <c r="F116" s="16">
        <v>42369</v>
      </c>
      <c r="G116" s="13">
        <v>28414.01</v>
      </c>
      <c r="H116" s="16">
        <v>42369</v>
      </c>
      <c r="I116" s="13">
        <v>1735</v>
      </c>
      <c r="J116" s="13">
        <f t="shared" si="3"/>
        <v>2168.75</v>
      </c>
      <c r="K116" s="6"/>
    </row>
    <row r="117" spans="1:11" x14ac:dyDescent="0.25">
      <c r="A117" s="3">
        <v>110</v>
      </c>
      <c r="B117" s="14" t="s">
        <v>199</v>
      </c>
      <c r="C117" s="15" t="str">
        <f>"140054"</f>
        <v>140054</v>
      </c>
      <c r="D117" s="15" t="str">
        <f t="shared" si="2"/>
        <v>GEN-I ZAGREB D.O.O.</v>
      </c>
      <c r="E117" s="16">
        <v>41629</v>
      </c>
      <c r="F117" s="16">
        <v>42369</v>
      </c>
      <c r="G117" s="13">
        <v>70394.960000000006</v>
      </c>
      <c r="H117" s="16">
        <v>42369</v>
      </c>
      <c r="I117" s="13">
        <v>3087</v>
      </c>
      <c r="J117" s="13">
        <f t="shared" si="3"/>
        <v>3858.75</v>
      </c>
      <c r="K117" s="6"/>
    </row>
    <row r="118" spans="1:11" x14ac:dyDescent="0.25">
      <c r="A118" s="3">
        <v>111</v>
      </c>
      <c r="B118" s="14" t="s">
        <v>408</v>
      </c>
      <c r="C118" s="15" t="str">
        <f>"140141"</f>
        <v>140141</v>
      </c>
      <c r="D118" s="15" t="str">
        <f t="shared" si="2"/>
        <v>GEN-I ZAGREB D.O.O.</v>
      </c>
      <c r="E118" s="16">
        <v>41622</v>
      </c>
      <c r="F118" s="16">
        <v>42369</v>
      </c>
      <c r="G118" s="13">
        <v>14989.63</v>
      </c>
      <c r="H118" s="16">
        <v>42369</v>
      </c>
      <c r="I118" s="13">
        <v>14096.59</v>
      </c>
      <c r="J118" s="13">
        <f t="shared" si="3"/>
        <v>17620.737499999999</v>
      </c>
      <c r="K118" s="6"/>
    </row>
    <row r="119" spans="1:11" x14ac:dyDescent="0.25">
      <c r="A119" s="3">
        <v>112</v>
      </c>
      <c r="B119" s="14" t="s">
        <v>409</v>
      </c>
      <c r="C119" s="15" t="str">
        <f>"140032"</f>
        <v>140032</v>
      </c>
      <c r="D119" s="15" t="str">
        <f t="shared" si="2"/>
        <v>GEN-I ZAGREB D.O.O.</v>
      </c>
      <c r="E119" s="16">
        <v>41613</v>
      </c>
      <c r="F119" s="16">
        <v>42369</v>
      </c>
      <c r="G119" s="13">
        <v>15891.41</v>
      </c>
      <c r="H119" s="16">
        <v>42369</v>
      </c>
      <c r="I119" s="13">
        <v>9937.5</v>
      </c>
      <c r="J119" s="13">
        <f t="shared" si="3"/>
        <v>12421.875</v>
      </c>
      <c r="K119" s="6"/>
    </row>
    <row r="120" spans="1:11" ht="24" x14ac:dyDescent="0.25">
      <c r="A120" s="3">
        <v>113</v>
      </c>
      <c r="B120" s="14" t="s">
        <v>226</v>
      </c>
      <c r="C120" s="15" t="str">
        <f>"140118"</f>
        <v>140118</v>
      </c>
      <c r="D120" s="15" t="str">
        <f t="shared" si="2"/>
        <v>GEN-I ZAGREB D.O.O.</v>
      </c>
      <c r="E120" s="16">
        <v>41619</v>
      </c>
      <c r="F120" s="16">
        <v>42369</v>
      </c>
      <c r="G120" s="13">
        <v>534166.44999999995</v>
      </c>
      <c r="H120" s="16">
        <v>42369</v>
      </c>
      <c r="I120" s="13">
        <v>354514.86</v>
      </c>
      <c r="J120" s="13">
        <f t="shared" si="3"/>
        <v>443143.57499999995</v>
      </c>
      <c r="K120" s="6"/>
    </row>
    <row r="121" spans="1:11" ht="24" x14ac:dyDescent="0.25">
      <c r="A121" s="3">
        <v>114</v>
      </c>
      <c r="B121" s="14" t="s">
        <v>83</v>
      </c>
      <c r="C121" s="15" t="str">
        <f>"140057"</f>
        <v>140057</v>
      </c>
      <c r="D121" s="15" t="str">
        <f t="shared" si="2"/>
        <v>GEN-I ZAGREB D.O.O.</v>
      </c>
      <c r="E121" s="16">
        <v>41618</v>
      </c>
      <c r="F121" s="16">
        <v>42369</v>
      </c>
      <c r="G121" s="13">
        <v>54766.31</v>
      </c>
      <c r="H121" s="16">
        <v>42369</v>
      </c>
      <c r="I121" s="13">
        <v>31975.9</v>
      </c>
      <c r="J121" s="13">
        <f t="shared" si="3"/>
        <v>39969.875</v>
      </c>
      <c r="K121" s="6"/>
    </row>
    <row r="122" spans="1:11" ht="24" x14ac:dyDescent="0.25">
      <c r="A122" s="3">
        <v>115</v>
      </c>
      <c r="B122" s="14" t="s">
        <v>281</v>
      </c>
      <c r="C122" s="15" t="str">
        <f>"140077"</f>
        <v>140077</v>
      </c>
      <c r="D122" s="15" t="str">
        <f t="shared" si="2"/>
        <v>GEN-I ZAGREB D.O.O.</v>
      </c>
      <c r="E122" s="16">
        <v>41619</v>
      </c>
      <c r="F122" s="16">
        <v>42369</v>
      </c>
      <c r="G122" s="13">
        <v>43667.29</v>
      </c>
      <c r="H122" s="16">
        <v>42369</v>
      </c>
      <c r="I122" s="13">
        <v>46884.19</v>
      </c>
      <c r="J122" s="13">
        <f t="shared" si="3"/>
        <v>58605.237500000003</v>
      </c>
      <c r="K122" s="6"/>
    </row>
    <row r="123" spans="1:11" x14ac:dyDescent="0.25">
      <c r="A123" s="3">
        <v>116</v>
      </c>
      <c r="B123" s="14" t="s">
        <v>247</v>
      </c>
      <c r="C123" s="15" t="str">
        <f>"140103"</f>
        <v>140103</v>
      </c>
      <c r="D123" s="15" t="str">
        <f t="shared" si="2"/>
        <v>GEN-I ZAGREB D.O.O.</v>
      </c>
      <c r="E123" s="16">
        <v>41623</v>
      </c>
      <c r="F123" s="16">
        <v>42369</v>
      </c>
      <c r="G123" s="13">
        <v>7042.13</v>
      </c>
      <c r="H123" s="16">
        <v>42369</v>
      </c>
      <c r="I123" s="13">
        <v>3531</v>
      </c>
      <c r="J123" s="13">
        <f t="shared" si="3"/>
        <v>4413.75</v>
      </c>
      <c r="K123" s="6"/>
    </row>
    <row r="124" spans="1:11" ht="24" x14ac:dyDescent="0.25">
      <c r="A124" s="3">
        <v>117</v>
      </c>
      <c r="B124" s="14" t="s">
        <v>37</v>
      </c>
      <c r="C124" s="15" t="str">
        <f>"140127"</f>
        <v>140127</v>
      </c>
      <c r="D124" s="15" t="str">
        <f t="shared" si="2"/>
        <v>GEN-I ZAGREB D.O.O.</v>
      </c>
      <c r="E124" s="16">
        <v>41621</v>
      </c>
      <c r="F124" s="16">
        <v>42369</v>
      </c>
      <c r="G124" s="13">
        <v>792389.67</v>
      </c>
      <c r="H124" s="16">
        <v>42369</v>
      </c>
      <c r="I124" s="13">
        <v>460749.18</v>
      </c>
      <c r="J124" s="13">
        <f t="shared" si="3"/>
        <v>575936.47499999998</v>
      </c>
      <c r="K124" s="6"/>
    </row>
    <row r="125" spans="1:11" x14ac:dyDescent="0.25">
      <c r="A125" s="3">
        <v>118</v>
      </c>
      <c r="B125" s="14" t="s">
        <v>40</v>
      </c>
      <c r="C125" s="15" t="str">
        <f>"140020"</f>
        <v>140020</v>
      </c>
      <c r="D125" s="15" t="str">
        <f t="shared" si="2"/>
        <v>GEN-I ZAGREB D.O.O.</v>
      </c>
      <c r="E125" s="16">
        <v>41616</v>
      </c>
      <c r="F125" s="16">
        <v>42369</v>
      </c>
      <c r="G125" s="13">
        <v>1819239.12</v>
      </c>
      <c r="H125" s="16">
        <v>42369</v>
      </c>
      <c r="I125" s="13">
        <v>2014092.03</v>
      </c>
      <c r="J125" s="13">
        <f t="shared" si="3"/>
        <v>2517615.0375000001</v>
      </c>
      <c r="K125" s="6"/>
    </row>
    <row r="126" spans="1:11" ht="36" x14ac:dyDescent="0.25">
      <c r="A126" s="3">
        <v>119</v>
      </c>
      <c r="B126" s="14" t="s">
        <v>328</v>
      </c>
      <c r="C126" s="15" t="str">
        <f>"140076"</f>
        <v>140076</v>
      </c>
      <c r="D126" s="15" t="str">
        <f t="shared" si="2"/>
        <v>GEN-I ZAGREB D.O.O.</v>
      </c>
      <c r="E126" s="16">
        <v>41624</v>
      </c>
      <c r="F126" s="16">
        <v>42369</v>
      </c>
      <c r="G126" s="13">
        <v>12143.7</v>
      </c>
      <c r="H126" s="16">
        <v>42369</v>
      </c>
      <c r="I126" s="13">
        <v>12571.23</v>
      </c>
      <c r="J126" s="13">
        <f t="shared" si="3"/>
        <v>15714.037499999999</v>
      </c>
      <c r="K126" s="6"/>
    </row>
    <row r="127" spans="1:11" x14ac:dyDescent="0.25">
      <c r="A127" s="3">
        <v>120</v>
      </c>
      <c r="B127" s="14" t="s">
        <v>410</v>
      </c>
      <c r="C127" s="15" t="str">
        <f>"140025"</f>
        <v>140025</v>
      </c>
      <c r="D127" s="15" t="str">
        <f t="shared" si="2"/>
        <v>GEN-I ZAGREB D.O.O.</v>
      </c>
      <c r="E127" s="16">
        <v>41614</v>
      </c>
      <c r="F127" s="16">
        <v>42369</v>
      </c>
      <c r="G127" s="13">
        <v>5384.77</v>
      </c>
      <c r="H127" s="16">
        <v>42369</v>
      </c>
      <c r="I127" s="13">
        <v>3994.63</v>
      </c>
      <c r="J127" s="13">
        <f t="shared" si="3"/>
        <v>4993.2875000000004</v>
      </c>
      <c r="K127" s="6"/>
    </row>
    <row r="128" spans="1:11" x14ac:dyDescent="0.25">
      <c r="A128" s="3">
        <v>121</v>
      </c>
      <c r="B128" s="14" t="s">
        <v>38</v>
      </c>
      <c r="C128" s="15" t="str">
        <f>"140155"</f>
        <v>140155</v>
      </c>
      <c r="D128" s="15" t="str">
        <f t="shared" si="2"/>
        <v>GEN-I ZAGREB D.O.O.</v>
      </c>
      <c r="E128" s="16">
        <v>41610</v>
      </c>
      <c r="F128" s="16">
        <v>42369</v>
      </c>
      <c r="G128" s="13">
        <v>142819.28</v>
      </c>
      <c r="H128" s="16">
        <v>42369</v>
      </c>
      <c r="I128" s="13">
        <v>81522.2</v>
      </c>
      <c r="J128" s="13">
        <f t="shared" si="3"/>
        <v>101902.75</v>
      </c>
      <c r="K128" s="6"/>
    </row>
    <row r="129" spans="1:11" x14ac:dyDescent="0.25">
      <c r="A129" s="3">
        <v>122</v>
      </c>
      <c r="B129" s="14" t="s">
        <v>193</v>
      </c>
      <c r="C129" s="15" t="str">
        <f>"140147"</f>
        <v>140147</v>
      </c>
      <c r="D129" s="15" t="str">
        <f t="shared" si="2"/>
        <v>GEN-I ZAGREB D.O.O.</v>
      </c>
      <c r="E129" s="16">
        <v>41611</v>
      </c>
      <c r="F129" s="16">
        <v>42369</v>
      </c>
      <c r="G129" s="13">
        <v>38814.93</v>
      </c>
      <c r="H129" s="16">
        <v>42369</v>
      </c>
      <c r="I129" s="13">
        <v>42357.17</v>
      </c>
      <c r="J129" s="13">
        <f t="shared" si="3"/>
        <v>52946.462499999994</v>
      </c>
      <c r="K129" s="6"/>
    </row>
    <row r="130" spans="1:11" ht="24" x14ac:dyDescent="0.25">
      <c r="A130" s="3">
        <v>123</v>
      </c>
      <c r="B130" s="14" t="s">
        <v>253</v>
      </c>
      <c r="C130" s="15" t="str">
        <f>"140045"</f>
        <v>140045</v>
      </c>
      <c r="D130" s="15" t="str">
        <f t="shared" si="2"/>
        <v>GEN-I ZAGREB D.O.O.</v>
      </c>
      <c r="E130" s="16">
        <v>41615</v>
      </c>
      <c r="F130" s="16">
        <v>42369</v>
      </c>
      <c r="G130" s="13">
        <v>42047.95</v>
      </c>
      <c r="H130" s="16">
        <v>42369</v>
      </c>
      <c r="I130" s="13">
        <v>24897.85</v>
      </c>
      <c r="J130" s="13">
        <f t="shared" si="3"/>
        <v>31122.3125</v>
      </c>
      <c r="K130" s="6"/>
    </row>
    <row r="131" spans="1:11" x14ac:dyDescent="0.25">
      <c r="A131" s="3">
        <v>124</v>
      </c>
      <c r="B131" s="14" t="s">
        <v>73</v>
      </c>
      <c r="C131" s="15" t="str">
        <f>"140082"</f>
        <v>140082</v>
      </c>
      <c r="D131" s="15" t="str">
        <f t="shared" ref="D131:D180" si="4">CONCATENATE("GEN-I ZAGREB D.O.O.")</f>
        <v>GEN-I ZAGREB D.O.O.</v>
      </c>
      <c r="E131" s="16">
        <v>41618</v>
      </c>
      <c r="F131" s="16">
        <v>42369</v>
      </c>
      <c r="G131" s="13">
        <v>701154.33</v>
      </c>
      <c r="H131" s="16">
        <v>42369</v>
      </c>
      <c r="I131" s="13">
        <v>405568.57</v>
      </c>
      <c r="J131" s="13">
        <f t="shared" si="3"/>
        <v>506960.71250000002</v>
      </c>
      <c r="K131" s="6"/>
    </row>
    <row r="132" spans="1:11" x14ac:dyDescent="0.25">
      <c r="A132" s="3">
        <v>125</v>
      </c>
      <c r="B132" s="14" t="s">
        <v>29</v>
      </c>
      <c r="C132" s="15" t="str">
        <f>"140029"</f>
        <v>140029</v>
      </c>
      <c r="D132" s="15" t="str">
        <f t="shared" si="4"/>
        <v>GEN-I ZAGREB D.O.O.</v>
      </c>
      <c r="E132" s="16">
        <v>41616</v>
      </c>
      <c r="F132" s="16">
        <v>42369</v>
      </c>
      <c r="G132" s="13">
        <v>10741626.65</v>
      </c>
      <c r="H132" s="16">
        <v>42369</v>
      </c>
      <c r="I132" s="13">
        <v>9139065.8599999994</v>
      </c>
      <c r="J132" s="13">
        <f t="shared" ref="J132:J180" si="5">I132*1.25</f>
        <v>11423832.324999999</v>
      </c>
      <c r="K132" s="6"/>
    </row>
    <row r="133" spans="1:11" x14ac:dyDescent="0.25">
      <c r="A133" s="3">
        <v>126</v>
      </c>
      <c r="B133" s="14" t="s">
        <v>198</v>
      </c>
      <c r="C133" s="15" t="str">
        <f>"140142"</f>
        <v>140142</v>
      </c>
      <c r="D133" s="15" t="str">
        <f t="shared" si="4"/>
        <v>GEN-I ZAGREB D.O.O.</v>
      </c>
      <c r="E133" s="16">
        <v>41611</v>
      </c>
      <c r="F133" s="16">
        <v>42369</v>
      </c>
      <c r="G133" s="13">
        <v>537546.98</v>
      </c>
      <c r="H133" s="16">
        <v>42369</v>
      </c>
      <c r="I133" s="13">
        <v>304828.40000000002</v>
      </c>
      <c r="J133" s="13">
        <f t="shared" si="5"/>
        <v>381035.5</v>
      </c>
      <c r="K133" s="6"/>
    </row>
    <row r="134" spans="1:11" x14ac:dyDescent="0.25">
      <c r="A134" s="3">
        <v>127</v>
      </c>
      <c r="B134" s="14" t="s">
        <v>153</v>
      </c>
      <c r="C134" s="15" t="str">
        <f>"140165"</f>
        <v>140165</v>
      </c>
      <c r="D134" s="15" t="str">
        <f t="shared" si="4"/>
        <v>GEN-I ZAGREB D.O.O.</v>
      </c>
      <c r="E134" s="16">
        <v>41619</v>
      </c>
      <c r="F134" s="16">
        <v>42369</v>
      </c>
      <c r="G134" s="13">
        <v>809866.08</v>
      </c>
      <c r="H134" s="16">
        <v>42369</v>
      </c>
      <c r="I134" s="13">
        <v>459299.51</v>
      </c>
      <c r="J134" s="13">
        <f t="shared" si="5"/>
        <v>574124.38749999995</v>
      </c>
      <c r="K134" s="6"/>
    </row>
    <row r="135" spans="1:11" ht="24" x14ac:dyDescent="0.25">
      <c r="A135" s="3">
        <v>128</v>
      </c>
      <c r="B135" s="14" t="s">
        <v>47</v>
      </c>
      <c r="C135" s="15" t="str">
        <f>"140001"</f>
        <v>140001</v>
      </c>
      <c r="D135" s="15" t="str">
        <f t="shared" si="4"/>
        <v>GEN-I ZAGREB D.O.O.</v>
      </c>
      <c r="E135" s="16">
        <v>41619</v>
      </c>
      <c r="F135" s="16">
        <v>42369</v>
      </c>
      <c r="G135" s="13">
        <v>272723.57</v>
      </c>
      <c r="H135" s="16">
        <v>42369</v>
      </c>
      <c r="I135" s="13">
        <v>272723.57</v>
      </c>
      <c r="J135" s="13">
        <f t="shared" si="5"/>
        <v>340904.46250000002</v>
      </c>
      <c r="K135" s="6"/>
    </row>
    <row r="136" spans="1:11" x14ac:dyDescent="0.25">
      <c r="A136" s="3">
        <v>129</v>
      </c>
      <c r="B136" s="14" t="s">
        <v>72</v>
      </c>
      <c r="C136" s="15" t="str">
        <f>"140030"</f>
        <v>140030</v>
      </c>
      <c r="D136" s="15" t="str">
        <f t="shared" si="4"/>
        <v>GEN-I ZAGREB D.O.O.</v>
      </c>
      <c r="E136" s="16">
        <v>41610</v>
      </c>
      <c r="F136" s="16">
        <v>42369</v>
      </c>
      <c r="G136" s="13">
        <v>189982.82</v>
      </c>
      <c r="H136" s="16">
        <v>42369</v>
      </c>
      <c r="I136" s="13">
        <v>94380</v>
      </c>
      <c r="J136" s="13">
        <f t="shared" si="5"/>
        <v>117975</v>
      </c>
      <c r="K136" s="6"/>
    </row>
    <row r="137" spans="1:11" ht="24" x14ac:dyDescent="0.25">
      <c r="A137" s="3">
        <v>130</v>
      </c>
      <c r="B137" s="14" t="s">
        <v>344</v>
      </c>
      <c r="C137" s="15" t="str">
        <f>"140078"</f>
        <v>140078</v>
      </c>
      <c r="D137" s="15" t="str">
        <f t="shared" si="4"/>
        <v>GEN-I ZAGREB D.O.O.</v>
      </c>
      <c r="E137" s="16">
        <v>41611</v>
      </c>
      <c r="F137" s="16">
        <v>42369</v>
      </c>
      <c r="G137" s="13">
        <v>11351.21</v>
      </c>
      <c r="H137" s="16">
        <v>42369</v>
      </c>
      <c r="I137" s="13">
        <v>5526.87</v>
      </c>
      <c r="J137" s="13">
        <f t="shared" si="5"/>
        <v>6908.5874999999996</v>
      </c>
      <c r="K137" s="6"/>
    </row>
    <row r="138" spans="1:11" x14ac:dyDescent="0.25">
      <c r="A138" s="3">
        <v>131</v>
      </c>
      <c r="B138" s="14" t="s">
        <v>271</v>
      </c>
      <c r="C138" s="15" t="str">
        <f>"140040"</f>
        <v>140040</v>
      </c>
      <c r="D138" s="15" t="str">
        <f t="shared" si="4"/>
        <v>GEN-I ZAGREB D.O.O.</v>
      </c>
      <c r="E138" s="16">
        <v>41624</v>
      </c>
      <c r="F138" s="16">
        <v>42369</v>
      </c>
      <c r="G138" s="13">
        <v>58001.440000000002</v>
      </c>
      <c r="H138" s="16">
        <v>42369</v>
      </c>
      <c r="I138" s="13">
        <v>31852.5</v>
      </c>
      <c r="J138" s="13">
        <f t="shared" si="5"/>
        <v>39815.625</v>
      </c>
      <c r="K138" s="6"/>
    </row>
    <row r="139" spans="1:11" x14ac:dyDescent="0.25">
      <c r="A139" s="3">
        <v>132</v>
      </c>
      <c r="B139" s="14" t="s">
        <v>369</v>
      </c>
      <c r="C139" s="15" t="str">
        <f>"140146"</f>
        <v>140146</v>
      </c>
      <c r="D139" s="15" t="str">
        <f t="shared" si="4"/>
        <v>GEN-I ZAGREB D.O.O.</v>
      </c>
      <c r="E139" s="16">
        <v>41615</v>
      </c>
      <c r="F139" s="16">
        <v>42369</v>
      </c>
      <c r="G139" s="13">
        <v>8346.2199999999993</v>
      </c>
      <c r="H139" s="16">
        <v>42369</v>
      </c>
      <c r="I139" s="13">
        <v>0</v>
      </c>
      <c r="J139" s="13">
        <f t="shared" si="5"/>
        <v>0</v>
      </c>
      <c r="K139" s="6"/>
    </row>
    <row r="140" spans="1:11" x14ac:dyDescent="0.25">
      <c r="A140" s="3">
        <v>133</v>
      </c>
      <c r="B140" s="14" t="s">
        <v>41</v>
      </c>
      <c r="C140" s="15" t="str">
        <f>"140034"</f>
        <v>140034</v>
      </c>
      <c r="D140" s="15" t="str">
        <f t="shared" si="4"/>
        <v>GEN-I ZAGREB D.O.O.</v>
      </c>
      <c r="E140" s="16">
        <v>41624</v>
      </c>
      <c r="F140" s="16">
        <v>42369</v>
      </c>
      <c r="G140" s="13">
        <v>417679.12</v>
      </c>
      <c r="H140" s="16">
        <v>42369</v>
      </c>
      <c r="I140" s="13">
        <v>398110.28</v>
      </c>
      <c r="J140" s="13">
        <f t="shared" si="5"/>
        <v>497637.85000000003</v>
      </c>
      <c r="K140" s="6"/>
    </row>
    <row r="141" spans="1:11" ht="24" x14ac:dyDescent="0.25">
      <c r="A141" s="3">
        <v>134</v>
      </c>
      <c r="B141" s="14" t="s">
        <v>227</v>
      </c>
      <c r="C141" s="15" t="str">
        <f>"140037"</f>
        <v>140037</v>
      </c>
      <c r="D141" s="15" t="str">
        <f t="shared" si="4"/>
        <v>GEN-I ZAGREB D.O.O.</v>
      </c>
      <c r="E141" s="16">
        <v>41621</v>
      </c>
      <c r="F141" s="16">
        <v>42369</v>
      </c>
      <c r="G141" s="13">
        <v>60761.53</v>
      </c>
      <c r="H141" s="16">
        <v>42369</v>
      </c>
      <c r="I141" s="13">
        <v>43406.17</v>
      </c>
      <c r="J141" s="13">
        <f t="shared" si="5"/>
        <v>54257.712499999994</v>
      </c>
      <c r="K141" s="6"/>
    </row>
    <row r="142" spans="1:11" x14ac:dyDescent="0.25">
      <c r="A142" s="3">
        <v>135</v>
      </c>
      <c r="B142" s="14" t="s">
        <v>411</v>
      </c>
      <c r="C142" s="15" t="str">
        <f>"140133"</f>
        <v>140133</v>
      </c>
      <c r="D142" s="15" t="str">
        <f t="shared" si="4"/>
        <v>GEN-I ZAGREB D.O.O.</v>
      </c>
      <c r="E142" s="16">
        <v>41617</v>
      </c>
      <c r="F142" s="16">
        <v>42369</v>
      </c>
      <c r="G142" s="13">
        <v>77475.179999999993</v>
      </c>
      <c r="H142" s="16">
        <v>42369</v>
      </c>
      <c r="I142" s="13">
        <v>69550.66</v>
      </c>
      <c r="J142" s="13">
        <f t="shared" si="5"/>
        <v>86938.325000000012</v>
      </c>
      <c r="K142" s="6"/>
    </row>
    <row r="143" spans="1:11" ht="24" x14ac:dyDescent="0.25">
      <c r="A143" s="3">
        <v>136</v>
      </c>
      <c r="B143" s="14" t="s">
        <v>412</v>
      </c>
      <c r="C143" s="15" t="str">
        <f>"140143"</f>
        <v>140143</v>
      </c>
      <c r="D143" s="15" t="str">
        <f t="shared" si="4"/>
        <v>GEN-I ZAGREB D.O.O.</v>
      </c>
      <c r="E143" s="16">
        <v>41617</v>
      </c>
      <c r="F143" s="16">
        <v>42369</v>
      </c>
      <c r="G143" s="13">
        <v>6172.08</v>
      </c>
      <c r="H143" s="16">
        <v>42369</v>
      </c>
      <c r="I143" s="13">
        <v>3410</v>
      </c>
      <c r="J143" s="13">
        <f t="shared" si="5"/>
        <v>4262.5</v>
      </c>
      <c r="K143" s="6"/>
    </row>
    <row r="144" spans="1:11" x14ac:dyDescent="0.25">
      <c r="A144" s="3">
        <v>137</v>
      </c>
      <c r="B144" s="14" t="s">
        <v>413</v>
      </c>
      <c r="C144" s="15" t="str">
        <f>"140081"</f>
        <v>140081</v>
      </c>
      <c r="D144" s="15" t="str">
        <f t="shared" si="4"/>
        <v>GEN-I ZAGREB D.O.O.</v>
      </c>
      <c r="E144" s="16">
        <v>41618</v>
      </c>
      <c r="F144" s="16">
        <v>42369</v>
      </c>
      <c r="G144" s="13">
        <v>7616.05</v>
      </c>
      <c r="H144" s="16">
        <v>42369</v>
      </c>
      <c r="I144" s="40">
        <v>0</v>
      </c>
      <c r="J144" s="40">
        <f t="shared" si="5"/>
        <v>0</v>
      </c>
      <c r="K144" s="6"/>
    </row>
    <row r="145" spans="1:11" x14ac:dyDescent="0.25">
      <c r="A145" s="3">
        <v>138</v>
      </c>
      <c r="B145" s="14" t="s">
        <v>320</v>
      </c>
      <c r="C145" s="15" t="str">
        <f>"140018"</f>
        <v>140018</v>
      </c>
      <c r="D145" s="15" t="str">
        <f t="shared" si="4"/>
        <v>GEN-I ZAGREB D.O.O.</v>
      </c>
      <c r="E145" s="16">
        <v>41618</v>
      </c>
      <c r="F145" s="16">
        <v>42369</v>
      </c>
      <c r="G145" s="13">
        <v>145570.75</v>
      </c>
      <c r="H145" s="16">
        <v>42369</v>
      </c>
      <c r="I145" s="13">
        <v>184318.47</v>
      </c>
      <c r="J145" s="13">
        <f t="shared" si="5"/>
        <v>230398.08749999999</v>
      </c>
      <c r="K145" s="6"/>
    </row>
    <row r="146" spans="1:11" x14ac:dyDescent="0.25">
      <c r="A146" s="3">
        <v>139</v>
      </c>
      <c r="B146" s="14" t="s">
        <v>393</v>
      </c>
      <c r="C146" s="15" t="str">
        <f>"140062"</f>
        <v>140062</v>
      </c>
      <c r="D146" s="15" t="str">
        <f t="shared" si="4"/>
        <v>GEN-I ZAGREB D.O.O.</v>
      </c>
      <c r="E146" s="16">
        <v>41623</v>
      </c>
      <c r="F146" s="16">
        <v>42369</v>
      </c>
      <c r="G146" s="13">
        <v>17366</v>
      </c>
      <c r="H146" s="16">
        <v>42369</v>
      </c>
      <c r="I146" s="13">
        <v>12237.11</v>
      </c>
      <c r="J146" s="13">
        <f t="shared" si="5"/>
        <v>15296.387500000001</v>
      </c>
      <c r="K146" s="6"/>
    </row>
    <row r="147" spans="1:11" x14ac:dyDescent="0.25">
      <c r="A147" s="3">
        <v>140</v>
      </c>
      <c r="B147" s="14" t="s">
        <v>256</v>
      </c>
      <c r="C147" s="15" t="str">
        <f>"140135"</f>
        <v>140135</v>
      </c>
      <c r="D147" s="15" t="str">
        <f t="shared" si="4"/>
        <v>GEN-I ZAGREB D.O.O.</v>
      </c>
      <c r="E147" s="16">
        <v>41616</v>
      </c>
      <c r="F147" s="16">
        <v>42369</v>
      </c>
      <c r="G147" s="13">
        <v>65101.17</v>
      </c>
      <c r="H147" s="16">
        <v>42369</v>
      </c>
      <c r="I147" s="13">
        <v>45680.84</v>
      </c>
      <c r="J147" s="13">
        <f t="shared" si="5"/>
        <v>57101.049999999996</v>
      </c>
      <c r="K147" s="6"/>
    </row>
    <row r="148" spans="1:11" ht="24" x14ac:dyDescent="0.25">
      <c r="A148" s="3">
        <v>141</v>
      </c>
      <c r="B148" s="14" t="s">
        <v>98</v>
      </c>
      <c r="C148" s="15" t="str">
        <f>"140083"</f>
        <v>140083</v>
      </c>
      <c r="D148" s="15" t="str">
        <f t="shared" si="4"/>
        <v>GEN-I ZAGREB D.O.O.</v>
      </c>
      <c r="E148" s="16">
        <v>41616</v>
      </c>
      <c r="F148" s="16">
        <v>42369</v>
      </c>
      <c r="G148" s="13">
        <v>23232.13</v>
      </c>
      <c r="H148" s="16">
        <v>42369</v>
      </c>
      <c r="I148" s="13">
        <v>12677.43</v>
      </c>
      <c r="J148" s="13">
        <f t="shared" si="5"/>
        <v>15846.7875</v>
      </c>
      <c r="K148" s="6"/>
    </row>
    <row r="149" spans="1:11" x14ac:dyDescent="0.25">
      <c r="A149" s="3">
        <v>142</v>
      </c>
      <c r="B149" s="14" t="s">
        <v>414</v>
      </c>
      <c r="C149" s="15" t="str">
        <f>"140093"</f>
        <v>140093</v>
      </c>
      <c r="D149" s="15" t="str">
        <f t="shared" si="4"/>
        <v>GEN-I ZAGREB D.O.O.</v>
      </c>
      <c r="E149" s="16">
        <v>41625</v>
      </c>
      <c r="F149" s="16">
        <v>42369</v>
      </c>
      <c r="G149" s="13">
        <v>6003.42</v>
      </c>
      <c r="H149" s="16">
        <v>42369</v>
      </c>
      <c r="I149" s="13">
        <v>2134.9</v>
      </c>
      <c r="J149" s="13">
        <f t="shared" si="5"/>
        <v>2668.625</v>
      </c>
      <c r="K149" s="6"/>
    </row>
    <row r="150" spans="1:11" x14ac:dyDescent="0.25">
      <c r="A150" s="3">
        <v>143</v>
      </c>
      <c r="B150" s="14" t="s">
        <v>415</v>
      </c>
      <c r="C150" s="15" t="str">
        <f>"140123"</f>
        <v>140123</v>
      </c>
      <c r="D150" s="15" t="str">
        <f t="shared" si="4"/>
        <v>GEN-I ZAGREB D.O.O.</v>
      </c>
      <c r="E150" s="16">
        <v>41613</v>
      </c>
      <c r="F150" s="16">
        <v>42369</v>
      </c>
      <c r="G150" s="13">
        <v>6309.1</v>
      </c>
      <c r="H150" s="16">
        <v>42369</v>
      </c>
      <c r="I150" s="13">
        <v>1956.84</v>
      </c>
      <c r="J150" s="13">
        <f t="shared" si="5"/>
        <v>2446.0499999999997</v>
      </c>
      <c r="K150" s="6"/>
    </row>
    <row r="151" spans="1:11" ht="24" x14ac:dyDescent="0.25">
      <c r="A151" s="3">
        <v>144</v>
      </c>
      <c r="B151" s="14" t="s">
        <v>340</v>
      </c>
      <c r="C151" s="15" t="str">
        <f>"140130"</f>
        <v>140130</v>
      </c>
      <c r="D151" s="15" t="str">
        <f t="shared" si="4"/>
        <v>GEN-I ZAGREB D.O.O.</v>
      </c>
      <c r="E151" s="16">
        <v>41613</v>
      </c>
      <c r="F151" s="16">
        <v>42369</v>
      </c>
      <c r="G151" s="13">
        <v>4839.71</v>
      </c>
      <c r="H151" s="16">
        <v>42369</v>
      </c>
      <c r="I151" s="13">
        <v>3183.12</v>
      </c>
      <c r="J151" s="13">
        <f t="shared" si="5"/>
        <v>3978.8999999999996</v>
      </c>
      <c r="K151" s="6"/>
    </row>
    <row r="152" spans="1:11" ht="24" x14ac:dyDescent="0.25">
      <c r="A152" s="3">
        <v>145</v>
      </c>
      <c r="B152" s="14" t="s">
        <v>27</v>
      </c>
      <c r="C152" s="15" t="str">
        <f>"140095"</f>
        <v>140095</v>
      </c>
      <c r="D152" s="15" t="str">
        <f t="shared" si="4"/>
        <v>GEN-I ZAGREB D.O.O.</v>
      </c>
      <c r="E152" s="16">
        <v>41610</v>
      </c>
      <c r="F152" s="16">
        <v>42369</v>
      </c>
      <c r="G152" s="13">
        <v>19982198.129999999</v>
      </c>
      <c r="H152" s="16">
        <v>42369</v>
      </c>
      <c r="I152" s="13">
        <v>11265717.25</v>
      </c>
      <c r="J152" s="13">
        <f t="shared" si="5"/>
        <v>14082146.5625</v>
      </c>
      <c r="K152" s="6"/>
    </row>
    <row r="153" spans="1:11" x14ac:dyDescent="0.25">
      <c r="A153" s="3">
        <v>146</v>
      </c>
      <c r="B153" s="14" t="s">
        <v>321</v>
      </c>
      <c r="C153" s="15" t="str">
        <f>"140088"</f>
        <v>140088</v>
      </c>
      <c r="D153" s="15" t="str">
        <f t="shared" si="4"/>
        <v>GEN-I ZAGREB D.O.O.</v>
      </c>
      <c r="E153" s="16">
        <v>41613</v>
      </c>
      <c r="F153" s="16">
        <v>42369</v>
      </c>
      <c r="G153" s="13">
        <v>156010.51</v>
      </c>
      <c r="H153" s="16">
        <v>42369</v>
      </c>
      <c r="I153" s="13">
        <v>170600.73</v>
      </c>
      <c r="J153" s="13">
        <f t="shared" si="5"/>
        <v>213250.91250000001</v>
      </c>
      <c r="K153" s="6"/>
    </row>
    <row r="154" spans="1:11" x14ac:dyDescent="0.25">
      <c r="A154" s="3">
        <v>147</v>
      </c>
      <c r="B154" s="14" t="s">
        <v>379</v>
      </c>
      <c r="C154" s="15" t="str">
        <f>"140121"</f>
        <v>140121</v>
      </c>
      <c r="D154" s="15" t="str">
        <f t="shared" si="4"/>
        <v>GEN-I ZAGREB D.O.O.</v>
      </c>
      <c r="E154" s="16">
        <v>41614</v>
      </c>
      <c r="F154" s="16">
        <v>42369</v>
      </c>
      <c r="G154" s="13">
        <v>37097.01</v>
      </c>
      <c r="H154" s="16">
        <v>42369</v>
      </c>
      <c r="I154" s="13">
        <v>25928.93</v>
      </c>
      <c r="J154" s="13">
        <f t="shared" si="5"/>
        <v>32411.162499999999</v>
      </c>
      <c r="K154" s="6"/>
    </row>
    <row r="155" spans="1:11" x14ac:dyDescent="0.25">
      <c r="A155" s="3">
        <v>148</v>
      </c>
      <c r="B155" s="14" t="s">
        <v>25</v>
      </c>
      <c r="C155" s="15" t="str">
        <f>"140035"</f>
        <v>140035</v>
      </c>
      <c r="D155" s="15" t="str">
        <f t="shared" si="4"/>
        <v>GEN-I ZAGREB D.O.O.</v>
      </c>
      <c r="E155" s="16">
        <v>41612</v>
      </c>
      <c r="F155" s="16">
        <v>42369</v>
      </c>
      <c r="G155" s="13">
        <v>558518.54</v>
      </c>
      <c r="H155" s="16">
        <v>42369</v>
      </c>
      <c r="I155" s="13">
        <v>344876.86</v>
      </c>
      <c r="J155" s="13">
        <f t="shared" si="5"/>
        <v>431096.07499999995</v>
      </c>
      <c r="K155" s="6"/>
    </row>
    <row r="156" spans="1:11" x14ac:dyDescent="0.25">
      <c r="A156" s="3">
        <v>149</v>
      </c>
      <c r="B156" s="14" t="s">
        <v>351</v>
      </c>
      <c r="C156" s="15" t="str">
        <f>"140041"</f>
        <v>140041</v>
      </c>
      <c r="D156" s="15" t="str">
        <f t="shared" si="4"/>
        <v>GEN-I ZAGREB D.O.O.</v>
      </c>
      <c r="E156" s="16">
        <v>41611</v>
      </c>
      <c r="F156" s="16">
        <v>42369</v>
      </c>
      <c r="G156" s="13">
        <v>3729.56</v>
      </c>
      <c r="H156" s="16">
        <v>42369</v>
      </c>
      <c r="I156" s="13">
        <v>4287.05</v>
      </c>
      <c r="J156" s="13">
        <f t="shared" si="5"/>
        <v>5358.8125</v>
      </c>
      <c r="K156" s="6"/>
    </row>
    <row r="157" spans="1:11" x14ac:dyDescent="0.25">
      <c r="A157" s="3">
        <v>150</v>
      </c>
      <c r="B157" s="14" t="s">
        <v>368</v>
      </c>
      <c r="C157" s="15" t="str">
        <f>"140166"</f>
        <v>140166</v>
      </c>
      <c r="D157" s="15" t="str">
        <f t="shared" si="4"/>
        <v>GEN-I ZAGREB D.O.O.</v>
      </c>
      <c r="E157" s="16">
        <v>41621</v>
      </c>
      <c r="F157" s="16">
        <v>42369</v>
      </c>
      <c r="G157" s="13">
        <v>86453.22</v>
      </c>
      <c r="H157" s="16">
        <v>42369</v>
      </c>
      <c r="I157" s="13">
        <v>41349</v>
      </c>
      <c r="J157" s="13">
        <f t="shared" si="5"/>
        <v>51686.25</v>
      </c>
      <c r="K157" s="6"/>
    </row>
    <row r="158" spans="1:11" x14ac:dyDescent="0.25">
      <c r="A158" s="3">
        <v>151</v>
      </c>
      <c r="B158" s="14" t="s">
        <v>71</v>
      </c>
      <c r="C158" s="15" t="str">
        <f>"140148"</f>
        <v>140148</v>
      </c>
      <c r="D158" s="15" t="str">
        <f t="shared" si="4"/>
        <v>GEN-I ZAGREB D.O.O.</v>
      </c>
      <c r="E158" s="16">
        <v>41622</v>
      </c>
      <c r="F158" s="16">
        <v>42369</v>
      </c>
      <c r="G158" s="13">
        <v>205042.68</v>
      </c>
      <c r="H158" s="16">
        <v>42369</v>
      </c>
      <c r="I158" s="13">
        <v>87515.86</v>
      </c>
      <c r="J158" s="13">
        <f t="shared" si="5"/>
        <v>109394.825</v>
      </c>
      <c r="K158" s="6"/>
    </row>
    <row r="159" spans="1:11" ht="24" x14ac:dyDescent="0.25">
      <c r="A159" s="3">
        <v>152</v>
      </c>
      <c r="B159" s="14" t="s">
        <v>416</v>
      </c>
      <c r="C159" s="15" t="str">
        <f>"140132"</f>
        <v>140132</v>
      </c>
      <c r="D159" s="15" t="str">
        <f t="shared" si="4"/>
        <v>GEN-I ZAGREB D.O.O.</v>
      </c>
      <c r="E159" s="16">
        <v>41620</v>
      </c>
      <c r="F159" s="16">
        <v>42369</v>
      </c>
      <c r="G159" s="13">
        <v>933.49</v>
      </c>
      <c r="H159" s="16">
        <v>42369</v>
      </c>
      <c r="I159" s="13">
        <v>329.42</v>
      </c>
      <c r="J159" s="13">
        <f t="shared" si="5"/>
        <v>411.77500000000003</v>
      </c>
      <c r="K159" s="6"/>
    </row>
    <row r="160" spans="1:11" x14ac:dyDescent="0.25">
      <c r="A160" s="3">
        <v>153</v>
      </c>
      <c r="B160" s="14" t="s">
        <v>314</v>
      </c>
      <c r="C160" s="15" t="str">
        <f>"140072"</f>
        <v>140072</v>
      </c>
      <c r="D160" s="15" t="str">
        <f t="shared" si="4"/>
        <v>GEN-I ZAGREB D.O.O.</v>
      </c>
      <c r="E160" s="16">
        <v>41614</v>
      </c>
      <c r="F160" s="16">
        <v>42369</v>
      </c>
      <c r="G160" s="13">
        <v>169717.06</v>
      </c>
      <c r="H160" s="16">
        <v>42369</v>
      </c>
      <c r="I160" s="13">
        <v>94454.49</v>
      </c>
      <c r="J160" s="13">
        <f t="shared" si="5"/>
        <v>118068.1125</v>
      </c>
      <c r="K160" s="6"/>
    </row>
    <row r="161" spans="1:11" x14ac:dyDescent="0.25">
      <c r="A161" s="3">
        <v>154</v>
      </c>
      <c r="B161" s="14" t="s">
        <v>417</v>
      </c>
      <c r="C161" s="15" t="str">
        <f>"140019"</f>
        <v>140019</v>
      </c>
      <c r="D161" s="15" t="str">
        <f t="shared" si="4"/>
        <v>GEN-I ZAGREB D.O.O.</v>
      </c>
      <c r="E161" s="16">
        <v>41622</v>
      </c>
      <c r="F161" s="16">
        <v>42369</v>
      </c>
      <c r="G161" s="13">
        <v>4928.6000000000004</v>
      </c>
      <c r="H161" s="16">
        <v>42369</v>
      </c>
      <c r="I161" s="13">
        <v>4928.6000000000004</v>
      </c>
      <c r="J161" s="13">
        <f t="shared" si="5"/>
        <v>6160.75</v>
      </c>
      <c r="K161" s="6"/>
    </row>
    <row r="162" spans="1:11" x14ac:dyDescent="0.25">
      <c r="A162" s="3">
        <v>155</v>
      </c>
      <c r="B162" s="14" t="s">
        <v>257</v>
      </c>
      <c r="C162" s="15" t="str">
        <f>"140091"</f>
        <v>140091</v>
      </c>
      <c r="D162" s="15" t="str">
        <f t="shared" si="4"/>
        <v>GEN-I ZAGREB D.O.O.</v>
      </c>
      <c r="E162" s="16">
        <v>41619</v>
      </c>
      <c r="F162" s="16">
        <v>42369</v>
      </c>
      <c r="G162" s="13">
        <v>35339.449999999997</v>
      </c>
      <c r="H162" s="16">
        <v>42369</v>
      </c>
      <c r="I162" s="13">
        <v>60784.23</v>
      </c>
      <c r="J162" s="13">
        <f t="shared" si="5"/>
        <v>75980.287500000006</v>
      </c>
      <c r="K162" s="6"/>
    </row>
    <row r="163" spans="1:11" x14ac:dyDescent="0.25">
      <c r="A163" s="3">
        <v>156</v>
      </c>
      <c r="B163" s="14" t="s">
        <v>337</v>
      </c>
      <c r="C163" s="15" t="str">
        <f>"140087"</f>
        <v>140087</v>
      </c>
      <c r="D163" s="15" t="str">
        <f t="shared" si="4"/>
        <v>GEN-I ZAGREB D.O.O.</v>
      </c>
      <c r="E163" s="16">
        <v>41614</v>
      </c>
      <c r="F163" s="16">
        <v>42369</v>
      </c>
      <c r="G163" s="13">
        <v>20387.849999999999</v>
      </c>
      <c r="H163" s="16">
        <v>42369</v>
      </c>
      <c r="I163" s="13">
        <v>20829.21</v>
      </c>
      <c r="J163" s="13">
        <f t="shared" si="5"/>
        <v>26036.512499999997</v>
      </c>
      <c r="K163" s="6"/>
    </row>
    <row r="164" spans="1:11" x14ac:dyDescent="0.25">
      <c r="A164" s="3">
        <v>157</v>
      </c>
      <c r="B164" s="14" t="s">
        <v>54</v>
      </c>
      <c r="C164" s="15" t="str">
        <f>"140039"</f>
        <v>140039</v>
      </c>
      <c r="D164" s="15" t="str">
        <f t="shared" si="4"/>
        <v>GEN-I ZAGREB D.O.O.</v>
      </c>
      <c r="E164" s="16">
        <v>41612</v>
      </c>
      <c r="F164" s="16">
        <v>42369</v>
      </c>
      <c r="G164" s="13">
        <v>612306.64</v>
      </c>
      <c r="H164" s="16">
        <v>42369</v>
      </c>
      <c r="I164" s="13">
        <v>688086.51</v>
      </c>
      <c r="J164" s="13">
        <f t="shared" si="5"/>
        <v>860108.13749999995</v>
      </c>
      <c r="K164" s="6"/>
    </row>
    <row r="165" spans="1:11" x14ac:dyDescent="0.25">
      <c r="A165" s="3">
        <v>158</v>
      </c>
      <c r="B165" s="14" t="s">
        <v>418</v>
      </c>
      <c r="C165" s="15" t="str">
        <f>"140098"</f>
        <v>140098</v>
      </c>
      <c r="D165" s="15" t="str">
        <f t="shared" si="4"/>
        <v>GEN-I ZAGREB D.O.O.</v>
      </c>
      <c r="E165" s="16">
        <v>41615</v>
      </c>
      <c r="F165" s="16">
        <v>42369</v>
      </c>
      <c r="G165" s="13">
        <v>3165.45</v>
      </c>
      <c r="H165" s="16">
        <v>42369</v>
      </c>
      <c r="I165" s="13">
        <v>1304.73</v>
      </c>
      <c r="J165" s="13">
        <f t="shared" si="5"/>
        <v>1630.9124999999999</v>
      </c>
      <c r="K165" s="6"/>
    </row>
    <row r="166" spans="1:11" ht="24" x14ac:dyDescent="0.25">
      <c r="A166" s="3">
        <v>159</v>
      </c>
      <c r="B166" s="14" t="s">
        <v>58</v>
      </c>
      <c r="C166" s="15" t="str">
        <f>"140137"</f>
        <v>140137</v>
      </c>
      <c r="D166" s="15" t="str">
        <f t="shared" si="4"/>
        <v>GEN-I ZAGREB D.O.O.</v>
      </c>
      <c r="E166" s="16">
        <v>41612</v>
      </c>
      <c r="F166" s="16">
        <v>42369</v>
      </c>
      <c r="G166" s="13">
        <v>1226248.08</v>
      </c>
      <c r="H166" s="16">
        <v>42369</v>
      </c>
      <c r="I166" s="13">
        <v>665964.12</v>
      </c>
      <c r="J166" s="13">
        <f t="shared" si="5"/>
        <v>832455.15</v>
      </c>
      <c r="K166" s="6"/>
    </row>
    <row r="167" spans="1:11" x14ac:dyDescent="0.25">
      <c r="A167" s="3">
        <v>160</v>
      </c>
      <c r="B167" s="14" t="s">
        <v>199</v>
      </c>
      <c r="C167" s="15" t="str">
        <f>"140050"</f>
        <v>140050</v>
      </c>
      <c r="D167" s="15" t="str">
        <f t="shared" si="4"/>
        <v>GEN-I ZAGREB D.O.O.</v>
      </c>
      <c r="E167" s="16">
        <v>41612</v>
      </c>
      <c r="F167" s="16">
        <v>42369</v>
      </c>
      <c r="G167" s="13">
        <v>145499.79</v>
      </c>
      <c r="H167" s="16">
        <v>42369</v>
      </c>
      <c r="I167" s="13">
        <v>158897.95000000001</v>
      </c>
      <c r="J167" s="13">
        <f t="shared" si="5"/>
        <v>198622.4375</v>
      </c>
      <c r="K167" s="6"/>
    </row>
    <row r="168" spans="1:11" x14ac:dyDescent="0.25">
      <c r="A168" s="3">
        <v>161</v>
      </c>
      <c r="B168" s="14" t="s">
        <v>278</v>
      </c>
      <c r="C168" s="15" t="str">
        <f>"140069"</f>
        <v>140069</v>
      </c>
      <c r="D168" s="15" t="str">
        <f t="shared" si="4"/>
        <v>GEN-I ZAGREB D.O.O.</v>
      </c>
      <c r="E168" s="16">
        <v>41623</v>
      </c>
      <c r="F168" s="16">
        <v>42369</v>
      </c>
      <c r="G168" s="13">
        <v>43008.46</v>
      </c>
      <c r="H168" s="16">
        <v>42369</v>
      </c>
      <c r="I168" s="13">
        <v>56986.69</v>
      </c>
      <c r="J168" s="13">
        <f t="shared" si="5"/>
        <v>71233.362500000003</v>
      </c>
      <c r="K168" s="6"/>
    </row>
    <row r="169" spans="1:11" ht="24" x14ac:dyDescent="0.25">
      <c r="A169" s="3">
        <v>162</v>
      </c>
      <c r="B169" s="14" t="s">
        <v>339</v>
      </c>
      <c r="C169" s="15" t="str">
        <f>"140053"</f>
        <v>140053</v>
      </c>
      <c r="D169" s="15" t="str">
        <f t="shared" si="4"/>
        <v>GEN-I ZAGREB D.O.O.</v>
      </c>
      <c r="E169" s="16">
        <v>41622</v>
      </c>
      <c r="F169" s="16">
        <v>42369</v>
      </c>
      <c r="G169" s="13">
        <v>529.05999999999995</v>
      </c>
      <c r="H169" s="16">
        <v>42369</v>
      </c>
      <c r="I169" s="13">
        <v>300</v>
      </c>
      <c r="J169" s="13">
        <f t="shared" si="5"/>
        <v>375</v>
      </c>
      <c r="K169" s="6"/>
    </row>
    <row r="170" spans="1:11" ht="24" x14ac:dyDescent="0.25">
      <c r="A170" s="3">
        <v>163</v>
      </c>
      <c r="B170" s="14" t="s">
        <v>325</v>
      </c>
      <c r="C170" s="15" t="str">
        <f>"140079"</f>
        <v>140079</v>
      </c>
      <c r="D170" s="15" t="str">
        <f t="shared" si="4"/>
        <v>GEN-I ZAGREB D.O.O.</v>
      </c>
      <c r="E170" s="16">
        <v>41623</v>
      </c>
      <c r="F170" s="16">
        <v>42369</v>
      </c>
      <c r="G170" s="13">
        <v>25757.58</v>
      </c>
      <c r="H170" s="16">
        <v>42369</v>
      </c>
      <c r="I170" s="13">
        <v>20683.88</v>
      </c>
      <c r="J170" s="13">
        <f t="shared" si="5"/>
        <v>25854.850000000002</v>
      </c>
      <c r="K170" s="6"/>
    </row>
    <row r="171" spans="1:11" x14ac:dyDescent="0.25">
      <c r="A171" s="3">
        <v>164</v>
      </c>
      <c r="B171" s="14" t="s">
        <v>338</v>
      </c>
      <c r="C171" s="15" t="str">
        <f>"140172"</f>
        <v>140172</v>
      </c>
      <c r="D171" s="15" t="str">
        <f t="shared" si="4"/>
        <v>GEN-I ZAGREB D.O.O.</v>
      </c>
      <c r="E171" s="16">
        <v>41613</v>
      </c>
      <c r="F171" s="16">
        <v>42369</v>
      </c>
      <c r="G171" s="13">
        <v>417516.19</v>
      </c>
      <c r="H171" s="16">
        <v>42369</v>
      </c>
      <c r="I171" s="13">
        <v>346429.7</v>
      </c>
      <c r="J171" s="13">
        <f t="shared" si="5"/>
        <v>433037.125</v>
      </c>
      <c r="K171" s="6"/>
    </row>
    <row r="172" spans="1:11" ht="24" x14ac:dyDescent="0.25">
      <c r="A172" s="3">
        <v>165</v>
      </c>
      <c r="B172" s="14" t="s">
        <v>330</v>
      </c>
      <c r="C172" s="15" t="str">
        <f>"140151"</f>
        <v>140151</v>
      </c>
      <c r="D172" s="15" t="str">
        <f t="shared" si="4"/>
        <v>GEN-I ZAGREB D.O.O.</v>
      </c>
      <c r="E172" s="16">
        <v>41621</v>
      </c>
      <c r="F172" s="16">
        <v>42369</v>
      </c>
      <c r="G172" s="13">
        <v>14357.13</v>
      </c>
      <c r="H172" s="16">
        <v>42369</v>
      </c>
      <c r="I172" s="13">
        <v>8521.58</v>
      </c>
      <c r="J172" s="13">
        <f t="shared" si="5"/>
        <v>10651.975</v>
      </c>
      <c r="K172" s="6"/>
    </row>
    <row r="173" spans="1:11" ht="24" x14ac:dyDescent="0.25">
      <c r="A173" s="3">
        <v>166</v>
      </c>
      <c r="B173" s="14" t="s">
        <v>195</v>
      </c>
      <c r="C173" s="15" t="str">
        <f>"140149"</f>
        <v>140149</v>
      </c>
      <c r="D173" s="15" t="str">
        <f t="shared" si="4"/>
        <v>GEN-I ZAGREB D.O.O.</v>
      </c>
      <c r="E173" s="16">
        <v>41616</v>
      </c>
      <c r="F173" s="16">
        <v>42369</v>
      </c>
      <c r="G173" s="13">
        <v>223187.1</v>
      </c>
      <c r="H173" s="16">
        <v>42369</v>
      </c>
      <c r="I173" s="13">
        <v>227404.41</v>
      </c>
      <c r="J173" s="13">
        <f t="shared" si="5"/>
        <v>284255.51250000001</v>
      </c>
      <c r="K173" s="6"/>
    </row>
    <row r="174" spans="1:11" x14ac:dyDescent="0.25">
      <c r="A174" s="3">
        <v>167</v>
      </c>
      <c r="B174" s="14" t="s">
        <v>419</v>
      </c>
      <c r="C174" s="15" t="str">
        <f>"140120"</f>
        <v>140120</v>
      </c>
      <c r="D174" s="15" t="str">
        <f t="shared" si="4"/>
        <v>GEN-I ZAGREB D.O.O.</v>
      </c>
      <c r="E174" s="16">
        <v>41613</v>
      </c>
      <c r="F174" s="16">
        <v>42369</v>
      </c>
      <c r="G174" s="13">
        <v>4413.67</v>
      </c>
      <c r="H174" s="16">
        <v>42369</v>
      </c>
      <c r="I174" s="13">
        <v>5760.37</v>
      </c>
      <c r="J174" s="13">
        <f t="shared" si="5"/>
        <v>7200.4624999999996</v>
      </c>
      <c r="K174" s="6"/>
    </row>
    <row r="175" spans="1:11" ht="24" x14ac:dyDescent="0.25">
      <c r="A175" s="3">
        <v>168</v>
      </c>
      <c r="B175" s="14" t="s">
        <v>81</v>
      </c>
      <c r="C175" s="15" t="str">
        <f>"87/VRHPUTEMUZOPA/2013"</f>
        <v>87/VRHPUTEMUZOPA/2013</v>
      </c>
      <c r="D175" s="15" t="str">
        <f t="shared" si="4"/>
        <v>GEN-I ZAGREB D.O.O.</v>
      </c>
      <c r="E175" s="16">
        <v>41626</v>
      </c>
      <c r="F175" s="16">
        <v>42369</v>
      </c>
      <c r="G175" s="13">
        <v>464126.57</v>
      </c>
      <c r="H175" s="16">
        <v>42369</v>
      </c>
      <c r="I175" s="13">
        <v>252804.66</v>
      </c>
      <c r="J175" s="13">
        <f t="shared" si="5"/>
        <v>316005.82500000001</v>
      </c>
      <c r="K175" s="6"/>
    </row>
    <row r="176" spans="1:11" x14ac:dyDescent="0.25">
      <c r="A176" s="3">
        <v>169</v>
      </c>
      <c r="B176" s="14" t="s">
        <v>420</v>
      </c>
      <c r="C176" s="15" t="str">
        <f>"140163"</f>
        <v>140163</v>
      </c>
      <c r="D176" s="15" t="str">
        <f t="shared" si="4"/>
        <v>GEN-I ZAGREB D.O.O.</v>
      </c>
      <c r="E176" s="16">
        <v>41621</v>
      </c>
      <c r="F176" s="16">
        <v>42369</v>
      </c>
      <c r="G176" s="13">
        <v>11253.5</v>
      </c>
      <c r="H176" s="16">
        <v>42369</v>
      </c>
      <c r="I176" s="13">
        <v>4881.97</v>
      </c>
      <c r="J176" s="13">
        <f t="shared" si="5"/>
        <v>6102.4625000000005</v>
      </c>
      <c r="K176" s="6"/>
    </row>
    <row r="177" spans="1:11" x14ac:dyDescent="0.25">
      <c r="A177" s="3">
        <v>170</v>
      </c>
      <c r="B177" s="14" t="s">
        <v>421</v>
      </c>
      <c r="C177" s="15" t="str">
        <f>"140116"</f>
        <v>140116</v>
      </c>
      <c r="D177" s="15" t="str">
        <f t="shared" si="4"/>
        <v>GEN-I ZAGREB D.O.O.</v>
      </c>
      <c r="E177" s="16">
        <v>41621</v>
      </c>
      <c r="F177" s="16">
        <v>42369</v>
      </c>
      <c r="G177" s="13">
        <v>0</v>
      </c>
      <c r="H177" s="16">
        <v>42369</v>
      </c>
      <c r="I177" s="13">
        <v>0</v>
      </c>
      <c r="J177" s="13">
        <f t="shared" si="5"/>
        <v>0</v>
      </c>
      <c r="K177" s="6"/>
    </row>
    <row r="178" spans="1:11" ht="24" x14ac:dyDescent="0.25">
      <c r="A178" s="3">
        <v>171</v>
      </c>
      <c r="B178" s="14" t="s">
        <v>422</v>
      </c>
      <c r="C178" s="15" t="str">
        <f>"140075"</f>
        <v>140075</v>
      </c>
      <c r="D178" s="15" t="str">
        <f t="shared" si="4"/>
        <v>GEN-I ZAGREB D.O.O.</v>
      </c>
      <c r="E178" s="16">
        <v>41600</v>
      </c>
      <c r="F178" s="16"/>
      <c r="G178" s="13">
        <v>15650</v>
      </c>
      <c r="H178" s="16"/>
      <c r="I178" s="13">
        <v>1074</v>
      </c>
      <c r="J178" s="13">
        <f t="shared" si="5"/>
        <v>1342.5</v>
      </c>
      <c r="K178" s="6"/>
    </row>
    <row r="179" spans="1:11" ht="24" x14ac:dyDescent="0.25">
      <c r="A179" s="3">
        <v>172</v>
      </c>
      <c r="B179" s="14" t="s">
        <v>423</v>
      </c>
      <c r="C179" s="15" t="str">
        <f>"140097"</f>
        <v>140097</v>
      </c>
      <c r="D179" s="15" t="str">
        <f t="shared" si="4"/>
        <v>GEN-I ZAGREB D.O.O.</v>
      </c>
      <c r="E179" s="16">
        <v>41600</v>
      </c>
      <c r="F179" s="16">
        <v>42369</v>
      </c>
      <c r="G179" s="13">
        <v>25437</v>
      </c>
      <c r="H179" s="16">
        <v>42369</v>
      </c>
      <c r="I179" s="13">
        <v>6706</v>
      </c>
      <c r="J179" s="13">
        <f t="shared" si="5"/>
        <v>8382.5</v>
      </c>
      <c r="K179" s="6"/>
    </row>
    <row r="180" spans="1:11" x14ac:dyDescent="0.25">
      <c r="A180" s="3">
        <v>173</v>
      </c>
      <c r="B180" s="14" t="s">
        <v>386</v>
      </c>
      <c r="C180" s="15" t="str">
        <f>"140051"</f>
        <v>140051</v>
      </c>
      <c r="D180" s="15" t="str">
        <f t="shared" si="4"/>
        <v>GEN-I ZAGREB D.O.O.</v>
      </c>
      <c r="E180" s="16">
        <v>41600</v>
      </c>
      <c r="F180" s="16">
        <v>42369</v>
      </c>
      <c r="G180" s="13">
        <v>27839</v>
      </c>
      <c r="H180" s="16">
        <v>42369</v>
      </c>
      <c r="I180" s="13">
        <v>12148</v>
      </c>
      <c r="J180" s="13">
        <f t="shared" si="5"/>
        <v>15185</v>
      </c>
      <c r="K180" s="6"/>
    </row>
    <row r="181" spans="1:11" ht="7.5" customHeight="1" x14ac:dyDescent="0.25"/>
    <row r="182" spans="1:11" ht="42" customHeight="1" x14ac:dyDescent="0.25">
      <c r="A182" s="1" t="s">
        <v>0</v>
      </c>
      <c r="B182" s="2" t="s">
        <v>1</v>
      </c>
      <c r="C182" s="2" t="s">
        <v>6</v>
      </c>
      <c r="D182" s="2" t="s">
        <v>2</v>
      </c>
      <c r="E182" s="2" t="s">
        <v>3</v>
      </c>
      <c r="F182" s="2" t="s">
        <v>7</v>
      </c>
      <c r="G182" s="2" t="s">
        <v>8</v>
      </c>
      <c r="H182" s="2" t="s">
        <v>4</v>
      </c>
      <c r="I182" s="2" t="s">
        <v>5</v>
      </c>
    </row>
    <row r="183" spans="1:11" x14ac:dyDescent="0.25">
      <c r="A183" s="3">
        <v>1</v>
      </c>
      <c r="B183" s="6" t="s">
        <v>677</v>
      </c>
      <c r="C183" s="20" t="s">
        <v>424</v>
      </c>
      <c r="D183" s="3" t="s">
        <v>701</v>
      </c>
      <c r="E183" s="3" t="s">
        <v>24</v>
      </c>
      <c r="F183" s="21">
        <v>41991</v>
      </c>
      <c r="G183" s="3" t="s">
        <v>659</v>
      </c>
      <c r="H183" s="13">
        <v>35000000</v>
      </c>
      <c r="I183" s="13">
        <v>33678224.399999999</v>
      </c>
    </row>
    <row r="184" spans="1:11" x14ac:dyDescent="0.25">
      <c r="A184" s="42" t="s">
        <v>706</v>
      </c>
      <c r="B184" s="43"/>
      <c r="C184" s="43"/>
      <c r="D184" s="43"/>
      <c r="E184" s="43"/>
      <c r="F184" s="43"/>
      <c r="G184" s="43"/>
      <c r="H184" s="44"/>
      <c r="I184" s="13">
        <v>22842985.140000001</v>
      </c>
    </row>
    <row r="185" spans="1:11" ht="7.5" customHeight="1" x14ac:dyDescent="0.25"/>
    <row r="186" spans="1:11" x14ac:dyDescent="0.25">
      <c r="A186" s="46" t="s">
        <v>20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11" ht="63.75" customHeight="1" x14ac:dyDescent="0.25">
      <c r="A187" s="4" t="s">
        <v>0</v>
      </c>
      <c r="B187" s="5" t="s">
        <v>10</v>
      </c>
      <c r="C187" s="5" t="s">
        <v>9</v>
      </c>
      <c r="D187" s="5" t="s">
        <v>13</v>
      </c>
      <c r="E187" s="5" t="s">
        <v>12</v>
      </c>
      <c r="F187" s="5" t="s">
        <v>11</v>
      </c>
      <c r="G187" s="5" t="s">
        <v>18</v>
      </c>
      <c r="H187" s="5" t="s">
        <v>14</v>
      </c>
      <c r="I187" s="5" t="s">
        <v>15</v>
      </c>
      <c r="J187" s="5" t="s">
        <v>16</v>
      </c>
      <c r="K187" s="5" t="s">
        <v>17</v>
      </c>
    </row>
    <row r="188" spans="1:11" ht="36" x14ac:dyDescent="0.25">
      <c r="A188" s="3">
        <v>1</v>
      </c>
      <c r="B188" s="14" t="s">
        <v>363</v>
      </c>
      <c r="C188" s="15" t="str">
        <f>"O-15-1566"</f>
        <v>O-15-1566</v>
      </c>
      <c r="D188" s="15" t="str">
        <f t="shared" ref="D188:D250" si="6">CONCATENATE("HEP-OPSKRBA D.O.O.")</f>
        <v>HEP-OPSKRBA D.O.O.</v>
      </c>
      <c r="E188" s="16">
        <v>42156</v>
      </c>
      <c r="F188" s="16"/>
      <c r="G188" s="13">
        <v>80325</v>
      </c>
      <c r="H188" s="16"/>
      <c r="I188" s="13">
        <v>41064.660000000003</v>
      </c>
      <c r="J188" s="13">
        <f>I188*1.25</f>
        <v>51330.825000000004</v>
      </c>
      <c r="K188" s="6"/>
    </row>
    <row r="189" spans="1:11" x14ac:dyDescent="0.25">
      <c r="A189" s="3">
        <v>2</v>
      </c>
      <c r="B189" s="14" t="s">
        <v>183</v>
      </c>
      <c r="C189" s="15" t="str">
        <f>"VV-2/2015"</f>
        <v>VV-2/2015</v>
      </c>
      <c r="D189" s="15" t="str">
        <f t="shared" si="6"/>
        <v>HEP-OPSKRBA D.O.O.</v>
      </c>
      <c r="E189" s="16">
        <v>42039</v>
      </c>
      <c r="F189" s="16">
        <v>42404</v>
      </c>
      <c r="G189" s="13">
        <v>667168.04</v>
      </c>
      <c r="H189" s="16">
        <v>42404</v>
      </c>
      <c r="I189" s="13">
        <v>601232.15</v>
      </c>
      <c r="J189" s="13">
        <f t="shared" ref="J189:J251" si="7">I189*1.25</f>
        <v>751540.1875</v>
      </c>
      <c r="K189" s="6"/>
    </row>
    <row r="190" spans="1:11" ht="24" x14ac:dyDescent="0.25">
      <c r="A190" s="3">
        <v>3</v>
      </c>
      <c r="B190" s="14" t="s">
        <v>362</v>
      </c>
      <c r="C190" s="15" t="str">
        <f>"EE2015"</f>
        <v>EE2015</v>
      </c>
      <c r="D190" s="15" t="str">
        <f t="shared" si="6"/>
        <v>HEP-OPSKRBA D.O.O.</v>
      </c>
      <c r="E190" s="16">
        <v>42030</v>
      </c>
      <c r="F190" s="16">
        <v>42400</v>
      </c>
      <c r="G190" s="13">
        <v>314460</v>
      </c>
      <c r="H190" s="16">
        <v>42400</v>
      </c>
      <c r="I190" s="13">
        <v>11648</v>
      </c>
      <c r="J190" s="13">
        <f t="shared" si="7"/>
        <v>14560</v>
      </c>
      <c r="K190" s="6"/>
    </row>
    <row r="191" spans="1:11" ht="24" x14ac:dyDescent="0.25">
      <c r="A191" s="3">
        <v>4</v>
      </c>
      <c r="B191" s="14" t="s">
        <v>425</v>
      </c>
      <c r="C191" s="15" t="str">
        <f>"O-15-1876"</f>
        <v>O-15-1876</v>
      </c>
      <c r="D191" s="15" t="str">
        <f t="shared" si="6"/>
        <v>HEP-OPSKRBA D.O.O.</v>
      </c>
      <c r="E191" s="16">
        <v>42186</v>
      </c>
      <c r="F191" s="16"/>
      <c r="G191" s="13">
        <v>2978.62</v>
      </c>
      <c r="H191" s="16"/>
      <c r="I191" s="13">
        <v>2978.62</v>
      </c>
      <c r="J191" s="13">
        <f t="shared" si="7"/>
        <v>3723.2749999999996</v>
      </c>
      <c r="K191" s="6"/>
    </row>
    <row r="192" spans="1:11" x14ac:dyDescent="0.25">
      <c r="A192" s="3">
        <v>5</v>
      </c>
      <c r="B192" s="14" t="s">
        <v>211</v>
      </c>
      <c r="C192" s="15" t="str">
        <f>"O-15-1971"</f>
        <v>O-15-1971</v>
      </c>
      <c r="D192" s="15" t="str">
        <f t="shared" si="6"/>
        <v>HEP-OPSKRBA D.O.O.</v>
      </c>
      <c r="E192" s="16">
        <v>42214</v>
      </c>
      <c r="F192" s="16"/>
      <c r="G192" s="13">
        <v>0</v>
      </c>
      <c r="H192" s="16"/>
      <c r="I192" s="13">
        <v>25731.200000000001</v>
      </c>
      <c r="J192" s="13">
        <f t="shared" si="7"/>
        <v>32164</v>
      </c>
      <c r="K192" s="6"/>
    </row>
    <row r="193" spans="1:11" ht="24" x14ac:dyDescent="0.25">
      <c r="A193" s="3">
        <v>6</v>
      </c>
      <c r="B193" s="14" t="s">
        <v>225</v>
      </c>
      <c r="C193" s="15" t="str">
        <f>"12-02-HEP-2015"</f>
        <v>12-02-HEP-2015</v>
      </c>
      <c r="D193" s="15" t="str">
        <f t="shared" si="6"/>
        <v>HEP-OPSKRBA D.O.O.</v>
      </c>
      <c r="E193" s="16">
        <v>42031</v>
      </c>
      <c r="F193" s="16"/>
      <c r="G193" s="13">
        <v>72128.350000000006</v>
      </c>
      <c r="H193" s="16"/>
      <c r="I193" s="13">
        <v>72128.350000000006</v>
      </c>
      <c r="J193" s="13">
        <f t="shared" si="7"/>
        <v>90160.4375</v>
      </c>
      <c r="K193" s="6"/>
    </row>
    <row r="194" spans="1:11" ht="36" x14ac:dyDescent="0.25">
      <c r="A194" s="3">
        <v>7</v>
      </c>
      <c r="B194" s="14" t="s">
        <v>426</v>
      </c>
      <c r="C194" s="15" t="str">
        <f>"OPMV 2/2015"</f>
        <v>OPMV 2/2015</v>
      </c>
      <c r="D194" s="15" t="str">
        <f t="shared" si="6"/>
        <v>HEP-OPSKRBA D.O.O.</v>
      </c>
      <c r="E194" s="16">
        <v>42064</v>
      </c>
      <c r="F194" s="16"/>
      <c r="G194" s="13">
        <v>185131.7</v>
      </c>
      <c r="H194" s="16"/>
      <c r="I194" s="13">
        <v>185131.7</v>
      </c>
      <c r="J194" s="13">
        <f t="shared" si="7"/>
        <v>231414.625</v>
      </c>
      <c r="K194" s="6"/>
    </row>
    <row r="195" spans="1:11" ht="24" x14ac:dyDescent="0.25">
      <c r="A195" s="3">
        <v>8</v>
      </c>
      <c r="B195" s="14" t="s">
        <v>159</v>
      </c>
      <c r="C195" s="15" t="str">
        <f>"O-15-1185"</f>
        <v>O-15-1185</v>
      </c>
      <c r="D195" s="15" t="str">
        <f t="shared" si="6"/>
        <v>HEP-OPSKRBA D.O.O.</v>
      </c>
      <c r="E195" s="16">
        <v>42060</v>
      </c>
      <c r="F195" s="16"/>
      <c r="G195" s="13">
        <v>16631.099999999999</v>
      </c>
      <c r="H195" s="16"/>
      <c r="I195" s="13">
        <v>21341.46</v>
      </c>
      <c r="J195" s="13">
        <f t="shared" si="7"/>
        <v>26676.824999999997</v>
      </c>
      <c r="K195" s="6"/>
    </row>
    <row r="196" spans="1:11" ht="24" x14ac:dyDescent="0.25">
      <c r="A196" s="3">
        <v>9</v>
      </c>
      <c r="B196" s="14" t="s">
        <v>204</v>
      </c>
      <c r="C196" s="15" t="str">
        <f>"O-15-873"</f>
        <v>O-15-873</v>
      </c>
      <c r="D196" s="15" t="str">
        <f t="shared" si="6"/>
        <v>HEP-OPSKRBA D.O.O.</v>
      </c>
      <c r="E196" s="16">
        <v>42025</v>
      </c>
      <c r="F196" s="16"/>
      <c r="G196" s="13">
        <v>40540.949999999997</v>
      </c>
      <c r="H196" s="16"/>
      <c r="I196" s="13">
        <v>40540.949999999997</v>
      </c>
      <c r="J196" s="13">
        <f t="shared" si="7"/>
        <v>50676.1875</v>
      </c>
      <c r="K196" s="6"/>
    </row>
    <row r="197" spans="1:11" ht="24" x14ac:dyDescent="0.25">
      <c r="A197" s="3">
        <v>10</v>
      </c>
      <c r="B197" s="14" t="s">
        <v>364</v>
      </c>
      <c r="C197" s="15" t="str">
        <f>"O-15-868"</f>
        <v>O-15-868</v>
      </c>
      <c r="D197" s="15" t="str">
        <f t="shared" si="6"/>
        <v>HEP-OPSKRBA D.O.O.</v>
      </c>
      <c r="E197" s="16">
        <v>42024</v>
      </c>
      <c r="F197" s="16">
        <v>42400</v>
      </c>
      <c r="G197" s="13">
        <v>202857</v>
      </c>
      <c r="H197" s="16">
        <v>42400</v>
      </c>
      <c r="I197" s="13">
        <v>196819</v>
      </c>
      <c r="J197" s="13">
        <f t="shared" si="7"/>
        <v>246023.75</v>
      </c>
      <c r="K197" s="6"/>
    </row>
    <row r="198" spans="1:11" ht="36" x14ac:dyDescent="0.25">
      <c r="A198" s="3">
        <v>11</v>
      </c>
      <c r="B198" s="14" t="s">
        <v>181</v>
      </c>
      <c r="C198" s="15" t="str">
        <f>"O-15-728"</f>
        <v>O-15-728</v>
      </c>
      <c r="D198" s="15" t="str">
        <f t="shared" si="6"/>
        <v>HEP-OPSKRBA D.O.O.</v>
      </c>
      <c r="E198" s="16">
        <v>42017</v>
      </c>
      <c r="F198" s="16"/>
      <c r="G198" s="13">
        <v>851807.52</v>
      </c>
      <c r="H198" s="16"/>
      <c r="I198" s="13">
        <v>851807.52</v>
      </c>
      <c r="J198" s="13">
        <f t="shared" si="7"/>
        <v>1064759.3999999999</v>
      </c>
      <c r="K198" s="6"/>
    </row>
    <row r="199" spans="1:11" ht="36" x14ac:dyDescent="0.25">
      <c r="A199" s="3">
        <v>12</v>
      </c>
      <c r="B199" s="14" t="s">
        <v>224</v>
      </c>
      <c r="C199" s="15" t="str">
        <f>"406-09/15-02/2"</f>
        <v>406-09/15-02/2</v>
      </c>
      <c r="D199" s="15" t="str">
        <f t="shared" si="6"/>
        <v>HEP-OPSKRBA D.O.O.</v>
      </c>
      <c r="E199" s="16">
        <v>42031</v>
      </c>
      <c r="F199" s="16"/>
      <c r="G199" s="13">
        <v>135334.96</v>
      </c>
      <c r="H199" s="16"/>
      <c r="I199" s="13">
        <v>135334.96</v>
      </c>
      <c r="J199" s="13">
        <f t="shared" si="7"/>
        <v>169168.69999999998</v>
      </c>
      <c r="K199" s="6"/>
    </row>
    <row r="200" spans="1:11" ht="24" x14ac:dyDescent="0.25">
      <c r="A200" s="3">
        <v>13</v>
      </c>
      <c r="B200" s="14" t="s">
        <v>146</v>
      </c>
      <c r="C200" s="15" t="str">
        <f>"O-15-739"</f>
        <v>O-15-739</v>
      </c>
      <c r="D200" s="15" t="str">
        <f t="shared" si="6"/>
        <v>HEP-OPSKRBA D.O.O.</v>
      </c>
      <c r="E200" s="16">
        <v>42020</v>
      </c>
      <c r="F200" s="16"/>
      <c r="G200" s="13">
        <v>15516</v>
      </c>
      <c r="H200" s="16"/>
      <c r="I200" s="13">
        <v>15516</v>
      </c>
      <c r="J200" s="13">
        <f t="shared" si="7"/>
        <v>19395</v>
      </c>
      <c r="K200" s="6"/>
    </row>
    <row r="201" spans="1:11" ht="36" x14ac:dyDescent="0.25">
      <c r="A201" s="3">
        <v>14</v>
      </c>
      <c r="B201" s="14" t="s">
        <v>427</v>
      </c>
      <c r="C201" s="15" t="str">
        <f>"104120-2015"</f>
        <v>104120-2015</v>
      </c>
      <c r="D201" s="15" t="str">
        <f t="shared" si="6"/>
        <v>HEP-OPSKRBA D.O.O.</v>
      </c>
      <c r="E201" s="16">
        <v>42153</v>
      </c>
      <c r="F201" s="16"/>
      <c r="G201" s="13">
        <v>1000000</v>
      </c>
      <c r="H201" s="16"/>
      <c r="I201" s="13">
        <v>436251.41</v>
      </c>
      <c r="J201" s="13">
        <f t="shared" si="7"/>
        <v>545314.26249999995</v>
      </c>
      <c r="K201" s="6"/>
    </row>
    <row r="202" spans="1:11" ht="24" x14ac:dyDescent="0.25">
      <c r="A202" s="3">
        <v>15</v>
      </c>
      <c r="B202" s="14" t="s">
        <v>428</v>
      </c>
      <c r="C202" s="15" t="str">
        <f>"O-15-1472"</f>
        <v>O-15-1472</v>
      </c>
      <c r="D202" s="15" t="str">
        <f t="shared" si="6"/>
        <v>HEP-OPSKRBA D.O.O.</v>
      </c>
      <c r="E202" s="16">
        <v>42116</v>
      </c>
      <c r="F202" s="16"/>
      <c r="G202" s="13">
        <v>450000</v>
      </c>
      <c r="H202" s="16"/>
      <c r="I202" s="13">
        <v>221217.56</v>
      </c>
      <c r="J202" s="13">
        <f t="shared" si="7"/>
        <v>276521.95</v>
      </c>
      <c r="K202" s="6"/>
    </row>
    <row r="203" spans="1:11" ht="24" x14ac:dyDescent="0.25">
      <c r="A203" s="3">
        <v>16</v>
      </c>
      <c r="B203" s="14" t="s">
        <v>429</v>
      </c>
      <c r="C203" s="15" t="str">
        <f>"O-15-906"</f>
        <v>O-15-906</v>
      </c>
      <c r="D203" s="15" t="str">
        <f t="shared" si="6"/>
        <v>HEP-OPSKRBA D.O.O.</v>
      </c>
      <c r="E203" s="16">
        <v>42027</v>
      </c>
      <c r="F203" s="16"/>
      <c r="G203" s="13">
        <v>15302</v>
      </c>
      <c r="H203" s="16"/>
      <c r="I203" s="13">
        <v>12245.95</v>
      </c>
      <c r="J203" s="13">
        <f t="shared" si="7"/>
        <v>15307.4375</v>
      </c>
      <c r="K203" s="6"/>
    </row>
    <row r="204" spans="1:11" ht="24" x14ac:dyDescent="0.25">
      <c r="A204" s="3">
        <v>17</v>
      </c>
      <c r="B204" s="14" t="s">
        <v>430</v>
      </c>
      <c r="C204" s="15" t="str">
        <f>"0-15-564"</f>
        <v>0-15-564</v>
      </c>
      <c r="D204" s="15" t="str">
        <f t="shared" si="6"/>
        <v>HEP-OPSKRBA D.O.O.</v>
      </c>
      <c r="E204" s="16">
        <v>41996</v>
      </c>
      <c r="F204" s="16"/>
      <c r="G204" s="13">
        <v>88000</v>
      </c>
      <c r="H204" s="16"/>
      <c r="I204" s="13">
        <v>87828</v>
      </c>
      <c r="J204" s="13">
        <f t="shared" si="7"/>
        <v>109785</v>
      </c>
      <c r="K204" s="6"/>
    </row>
    <row r="205" spans="1:11" ht="24" x14ac:dyDescent="0.25">
      <c r="A205" s="3">
        <v>18</v>
      </c>
      <c r="B205" s="14" t="s">
        <v>431</v>
      </c>
      <c r="C205" s="15" t="str">
        <f>"5/2014"</f>
        <v>5/2014</v>
      </c>
      <c r="D205" s="15" t="str">
        <f t="shared" si="6"/>
        <v>HEP-OPSKRBA D.O.O.</v>
      </c>
      <c r="E205" s="16">
        <v>41991</v>
      </c>
      <c r="F205" s="16"/>
      <c r="G205" s="13">
        <v>52811.91</v>
      </c>
      <c r="H205" s="16"/>
      <c r="I205" s="13">
        <v>52811.91</v>
      </c>
      <c r="J205" s="13">
        <f t="shared" si="7"/>
        <v>66014.887500000012</v>
      </c>
      <c r="K205" s="6"/>
    </row>
    <row r="206" spans="1:11" ht="24" x14ac:dyDescent="0.25">
      <c r="A206" s="3">
        <v>19</v>
      </c>
      <c r="B206" s="14" t="s">
        <v>432</v>
      </c>
      <c r="C206" s="15" t="str">
        <f>"OJN 01/15"</f>
        <v>OJN 01/15</v>
      </c>
      <c r="D206" s="15" t="str">
        <f t="shared" si="6"/>
        <v>HEP-OPSKRBA D.O.O.</v>
      </c>
      <c r="E206" s="16">
        <v>42035</v>
      </c>
      <c r="F206" s="16"/>
      <c r="G206" s="13">
        <v>42599.38</v>
      </c>
      <c r="H206" s="16"/>
      <c r="I206" s="13">
        <v>42599.38</v>
      </c>
      <c r="J206" s="13">
        <f t="shared" si="7"/>
        <v>53249.224999999999</v>
      </c>
      <c r="K206" s="6"/>
    </row>
    <row r="207" spans="1:11" ht="36" x14ac:dyDescent="0.25">
      <c r="A207" s="3">
        <v>20</v>
      </c>
      <c r="B207" s="14" t="s">
        <v>433</v>
      </c>
      <c r="C207" s="15" t="str">
        <f>"0-15-1564"</f>
        <v>0-15-1564</v>
      </c>
      <c r="D207" s="15" t="str">
        <f t="shared" si="6"/>
        <v>HEP-OPSKRBA D.O.O.</v>
      </c>
      <c r="E207" s="16">
        <v>42135</v>
      </c>
      <c r="F207" s="16"/>
      <c r="G207" s="13">
        <v>126764.18</v>
      </c>
      <c r="H207" s="16"/>
      <c r="I207" s="13">
        <v>126764.18</v>
      </c>
      <c r="J207" s="13">
        <f t="shared" si="7"/>
        <v>158455.22499999998</v>
      </c>
      <c r="K207" s="6"/>
    </row>
    <row r="208" spans="1:11" ht="24" x14ac:dyDescent="0.25">
      <c r="A208" s="3">
        <v>21</v>
      </c>
      <c r="B208" s="14" t="s">
        <v>434</v>
      </c>
      <c r="C208" s="15" t="str">
        <f>"0-15-1536"</f>
        <v>0-15-1536</v>
      </c>
      <c r="D208" s="15" t="str">
        <f t="shared" si="6"/>
        <v>HEP-OPSKRBA D.O.O.</v>
      </c>
      <c r="E208" s="16">
        <v>42123</v>
      </c>
      <c r="F208" s="16"/>
      <c r="G208" s="13">
        <v>52016.42</v>
      </c>
      <c r="H208" s="16"/>
      <c r="I208" s="13">
        <v>52016.42</v>
      </c>
      <c r="J208" s="13">
        <f t="shared" si="7"/>
        <v>65020.524999999994</v>
      </c>
      <c r="K208" s="6"/>
    </row>
    <row r="209" spans="1:11" x14ac:dyDescent="0.25">
      <c r="A209" s="3">
        <v>22</v>
      </c>
      <c r="B209" s="14" t="s">
        <v>191</v>
      </c>
      <c r="C209" s="15" t="str">
        <f>"II-03/2015"</f>
        <v>II-03/2015</v>
      </c>
      <c r="D209" s="15" t="str">
        <f t="shared" si="6"/>
        <v>HEP-OPSKRBA D.O.O.</v>
      </c>
      <c r="E209" s="16">
        <v>42023</v>
      </c>
      <c r="F209" s="16"/>
      <c r="G209" s="13">
        <v>48000</v>
      </c>
      <c r="H209" s="16"/>
      <c r="I209" s="13">
        <v>41913.360000000001</v>
      </c>
      <c r="J209" s="13">
        <f t="shared" si="7"/>
        <v>52391.7</v>
      </c>
      <c r="K209" s="6"/>
    </row>
    <row r="210" spans="1:11" ht="36" x14ac:dyDescent="0.25">
      <c r="A210" s="3">
        <v>23</v>
      </c>
      <c r="B210" s="14" t="s">
        <v>295</v>
      </c>
      <c r="C210" s="15" t="str">
        <f>"O-15-178"</f>
        <v>O-15-178</v>
      </c>
      <c r="D210" s="15" t="str">
        <f t="shared" si="6"/>
        <v>HEP-OPSKRBA D.O.O.</v>
      </c>
      <c r="E210" s="16">
        <v>42016</v>
      </c>
      <c r="F210" s="16"/>
      <c r="G210" s="13">
        <v>65000</v>
      </c>
      <c r="H210" s="16"/>
      <c r="I210" s="13">
        <v>60602.21</v>
      </c>
      <c r="J210" s="13">
        <f t="shared" si="7"/>
        <v>75752.762499999997</v>
      </c>
      <c r="K210" s="6"/>
    </row>
    <row r="211" spans="1:11" x14ac:dyDescent="0.25">
      <c r="A211" s="3">
        <v>24</v>
      </c>
      <c r="B211" s="14" t="s">
        <v>436</v>
      </c>
      <c r="C211" s="15" t="str">
        <f>"O-15-1972"</f>
        <v>O-15-1972</v>
      </c>
      <c r="D211" s="15" t="str">
        <f t="shared" si="6"/>
        <v>HEP-OPSKRBA D.O.O.</v>
      </c>
      <c r="E211" s="16">
        <v>42202</v>
      </c>
      <c r="F211" s="16">
        <v>42568</v>
      </c>
      <c r="G211" s="13">
        <v>0</v>
      </c>
      <c r="H211" s="16">
        <v>42568</v>
      </c>
      <c r="I211" s="13">
        <v>7193.14</v>
      </c>
      <c r="J211" s="13">
        <f t="shared" si="7"/>
        <v>8991.4250000000011</v>
      </c>
      <c r="K211" s="6"/>
    </row>
    <row r="212" spans="1:11" ht="36" x14ac:dyDescent="0.25">
      <c r="A212" s="3">
        <v>25</v>
      </c>
      <c r="B212" s="14" t="s">
        <v>437</v>
      </c>
      <c r="C212" s="15" t="str">
        <f>"0-15-1220"</f>
        <v>0-15-1220</v>
      </c>
      <c r="D212" s="15" t="str">
        <f t="shared" si="6"/>
        <v>HEP-OPSKRBA D.O.O.</v>
      </c>
      <c r="E212" s="16">
        <v>42060</v>
      </c>
      <c r="F212" s="16"/>
      <c r="G212" s="13">
        <v>46107</v>
      </c>
      <c r="H212" s="16"/>
      <c r="I212" s="13">
        <v>46107</v>
      </c>
      <c r="J212" s="13">
        <f t="shared" si="7"/>
        <v>57633.75</v>
      </c>
      <c r="K212" s="6"/>
    </row>
    <row r="213" spans="1:11" ht="24" x14ac:dyDescent="0.25">
      <c r="A213" s="3">
        <v>26</v>
      </c>
      <c r="B213" s="14" t="s">
        <v>152</v>
      </c>
      <c r="C213" s="15" t="str">
        <f>"O-15-732"</f>
        <v>O-15-732</v>
      </c>
      <c r="D213" s="15" t="str">
        <f t="shared" si="6"/>
        <v>HEP-OPSKRBA D.O.O.</v>
      </c>
      <c r="E213" s="16">
        <v>42018</v>
      </c>
      <c r="F213" s="16"/>
      <c r="G213" s="13">
        <v>60350</v>
      </c>
      <c r="H213" s="16"/>
      <c r="I213" s="13">
        <v>57570.75</v>
      </c>
      <c r="J213" s="13">
        <f t="shared" si="7"/>
        <v>71963.4375</v>
      </c>
      <c r="K213" s="6"/>
    </row>
    <row r="214" spans="1:11" ht="24" x14ac:dyDescent="0.25">
      <c r="A214" s="3">
        <v>27</v>
      </c>
      <c r="B214" s="14" t="s">
        <v>438</v>
      </c>
      <c r="C214" s="15" t="str">
        <f>"O-15-980"</f>
        <v>O-15-980</v>
      </c>
      <c r="D214" s="15" t="str">
        <f t="shared" si="6"/>
        <v>HEP-OPSKRBA D.O.O.</v>
      </c>
      <c r="E214" s="16">
        <v>42036</v>
      </c>
      <c r="F214" s="16"/>
      <c r="G214" s="13">
        <v>91770.4</v>
      </c>
      <c r="H214" s="16"/>
      <c r="I214" s="13">
        <v>26531.42</v>
      </c>
      <c r="J214" s="13">
        <f t="shared" si="7"/>
        <v>33164.274999999994</v>
      </c>
      <c r="K214" s="6"/>
    </row>
    <row r="215" spans="1:11" ht="24" x14ac:dyDescent="0.25">
      <c r="A215" s="3">
        <v>28</v>
      </c>
      <c r="B215" s="14" t="s">
        <v>251</v>
      </c>
      <c r="C215" s="15" t="str">
        <f>"EV-3/2015"</f>
        <v>EV-3/2015</v>
      </c>
      <c r="D215" s="15" t="str">
        <f t="shared" si="6"/>
        <v>HEP-OPSKRBA D.O.O.</v>
      </c>
      <c r="E215" s="16">
        <v>42125</v>
      </c>
      <c r="F215" s="16"/>
      <c r="G215" s="13">
        <v>16000</v>
      </c>
      <c r="H215" s="16"/>
      <c r="I215" s="13">
        <v>13925.56</v>
      </c>
      <c r="J215" s="13">
        <f t="shared" si="7"/>
        <v>17406.95</v>
      </c>
      <c r="K215" s="6"/>
    </row>
    <row r="216" spans="1:11" ht="36" x14ac:dyDescent="0.25">
      <c r="A216" s="3">
        <v>29</v>
      </c>
      <c r="B216" s="14" t="s">
        <v>266</v>
      </c>
      <c r="C216" s="15" t="str">
        <f>"O-15-1254"</f>
        <v>O-15-1254</v>
      </c>
      <c r="D216" s="15" t="str">
        <f t="shared" si="6"/>
        <v>HEP-OPSKRBA D.O.O.</v>
      </c>
      <c r="E216" s="16">
        <v>42068</v>
      </c>
      <c r="F216" s="16"/>
      <c r="G216" s="13">
        <v>100600</v>
      </c>
      <c r="H216" s="16"/>
      <c r="I216" s="13">
        <v>73593.37</v>
      </c>
      <c r="J216" s="13">
        <f t="shared" si="7"/>
        <v>91991.712499999994</v>
      </c>
      <c r="K216" s="6"/>
    </row>
    <row r="217" spans="1:11" ht="36" x14ac:dyDescent="0.25">
      <c r="A217" s="3">
        <v>30</v>
      </c>
      <c r="B217" s="14" t="s">
        <v>439</v>
      </c>
      <c r="C217" s="15" t="str">
        <f>"U-OS 1/15"</f>
        <v>U-OS 1/15</v>
      </c>
      <c r="D217" s="15" t="str">
        <f t="shared" si="6"/>
        <v>HEP-OPSKRBA D.O.O.</v>
      </c>
      <c r="E217" s="16">
        <v>42064</v>
      </c>
      <c r="F217" s="16"/>
      <c r="G217" s="13">
        <v>144830.62</v>
      </c>
      <c r="H217" s="16"/>
      <c r="I217" s="13">
        <v>144830.62</v>
      </c>
      <c r="J217" s="13">
        <f t="shared" si="7"/>
        <v>181038.27499999999</v>
      </c>
      <c r="K217" s="6"/>
    </row>
    <row r="218" spans="1:11" ht="24" x14ac:dyDescent="0.25">
      <c r="A218" s="3">
        <v>31</v>
      </c>
      <c r="B218" s="14" t="s">
        <v>296</v>
      </c>
      <c r="C218" s="15" t="str">
        <f>"02-09/14"</f>
        <v>02-09/14</v>
      </c>
      <c r="D218" s="15" t="str">
        <f t="shared" si="6"/>
        <v>HEP-OPSKRBA D.O.O.</v>
      </c>
      <c r="E218" s="16">
        <v>41996</v>
      </c>
      <c r="F218" s="16"/>
      <c r="G218" s="13">
        <v>559470.36</v>
      </c>
      <c r="H218" s="16"/>
      <c r="I218" s="13">
        <v>556470.36</v>
      </c>
      <c r="J218" s="13">
        <f t="shared" si="7"/>
        <v>695587.95</v>
      </c>
      <c r="K218" s="6"/>
    </row>
    <row r="219" spans="1:11" ht="24" x14ac:dyDescent="0.25">
      <c r="A219" s="3">
        <v>32</v>
      </c>
      <c r="B219" s="14" t="s">
        <v>294</v>
      </c>
      <c r="C219" s="15" t="str">
        <f>"O-15-2014"</f>
        <v>O-15-2014</v>
      </c>
      <c r="D219" s="15" t="str">
        <f t="shared" si="6"/>
        <v>HEP-OPSKRBA D.O.O.</v>
      </c>
      <c r="E219" s="16">
        <v>42212</v>
      </c>
      <c r="F219" s="16"/>
      <c r="G219" s="13">
        <v>232244.45</v>
      </c>
      <c r="H219" s="16"/>
      <c r="I219" s="13">
        <v>78683.740000000005</v>
      </c>
      <c r="J219" s="13">
        <f t="shared" si="7"/>
        <v>98354.675000000003</v>
      </c>
      <c r="K219" s="6"/>
    </row>
    <row r="220" spans="1:11" ht="36" x14ac:dyDescent="0.25">
      <c r="A220" s="3">
        <v>33</v>
      </c>
      <c r="B220" s="14" t="s">
        <v>440</v>
      </c>
      <c r="C220" s="15" t="str">
        <f>"0-15-1435"</f>
        <v>0-15-1435</v>
      </c>
      <c r="D220" s="15" t="str">
        <f t="shared" si="6"/>
        <v>HEP-OPSKRBA D.O.O.</v>
      </c>
      <c r="E220" s="16">
        <v>42125</v>
      </c>
      <c r="F220" s="16"/>
      <c r="G220" s="13">
        <v>94258.16</v>
      </c>
      <c r="H220" s="16"/>
      <c r="I220" s="13">
        <v>62305.440000000002</v>
      </c>
      <c r="J220" s="13">
        <f t="shared" si="7"/>
        <v>77881.8</v>
      </c>
      <c r="K220" s="6"/>
    </row>
    <row r="221" spans="1:11" ht="48" x14ac:dyDescent="0.25">
      <c r="A221" s="3">
        <v>34</v>
      </c>
      <c r="B221" s="14" t="s">
        <v>155</v>
      </c>
      <c r="C221" s="15" t="str">
        <f>"O-15-797"</f>
        <v>O-15-797</v>
      </c>
      <c r="D221" s="15" t="str">
        <f t="shared" si="6"/>
        <v>HEP-OPSKRBA D.O.O.</v>
      </c>
      <c r="E221" s="16">
        <v>42033</v>
      </c>
      <c r="F221" s="16"/>
      <c r="G221" s="13">
        <v>42521.63</v>
      </c>
      <c r="H221" s="16"/>
      <c r="I221" s="13">
        <v>42521.63</v>
      </c>
      <c r="J221" s="13">
        <f t="shared" si="7"/>
        <v>53152.037499999999</v>
      </c>
      <c r="K221" s="6"/>
    </row>
    <row r="222" spans="1:11" ht="36" x14ac:dyDescent="0.25">
      <c r="A222" s="3">
        <v>35</v>
      </c>
      <c r="B222" s="14" t="s">
        <v>374</v>
      </c>
      <c r="C222" s="15" t="str">
        <f>"O-15-1561"</f>
        <v>O-15-1561</v>
      </c>
      <c r="D222" s="15" t="str">
        <f t="shared" si="6"/>
        <v>HEP-OPSKRBA D.O.O.</v>
      </c>
      <c r="E222" s="16">
        <v>42139</v>
      </c>
      <c r="F222" s="16"/>
      <c r="G222" s="13">
        <v>692372.29</v>
      </c>
      <c r="H222" s="16"/>
      <c r="I222" s="13">
        <v>245533</v>
      </c>
      <c r="J222" s="13">
        <f t="shared" si="7"/>
        <v>306916.25</v>
      </c>
      <c r="K222" s="6"/>
    </row>
    <row r="223" spans="1:11" ht="36" x14ac:dyDescent="0.25">
      <c r="A223" s="3">
        <v>36</v>
      </c>
      <c r="B223" s="14" t="s">
        <v>441</v>
      </c>
      <c r="C223" s="15" t="str">
        <f>"O-15-1103"</f>
        <v>O-15-1103</v>
      </c>
      <c r="D223" s="15" t="str">
        <f t="shared" si="6"/>
        <v>HEP-OPSKRBA D.O.O.</v>
      </c>
      <c r="E223" s="16">
        <v>42067</v>
      </c>
      <c r="F223" s="16"/>
      <c r="G223" s="13">
        <v>16000</v>
      </c>
      <c r="H223" s="16"/>
      <c r="I223" s="13">
        <v>7840.78</v>
      </c>
      <c r="J223" s="13">
        <f t="shared" si="7"/>
        <v>9800.9750000000004</v>
      </c>
      <c r="K223" s="6"/>
    </row>
    <row r="224" spans="1:11" ht="36" x14ac:dyDescent="0.25">
      <c r="A224" s="3">
        <v>37</v>
      </c>
      <c r="B224" s="14" t="s">
        <v>442</v>
      </c>
      <c r="C224" s="15" t="str">
        <f>"O-15-1305"</f>
        <v>O-15-1305</v>
      </c>
      <c r="D224" s="15" t="str">
        <f t="shared" si="6"/>
        <v>HEP-OPSKRBA D.O.O.</v>
      </c>
      <c r="E224" s="16">
        <v>42089</v>
      </c>
      <c r="F224" s="16"/>
      <c r="G224" s="13">
        <v>77336.94</v>
      </c>
      <c r="H224" s="16"/>
      <c r="I224" s="13">
        <v>77336.94</v>
      </c>
      <c r="J224" s="13">
        <f t="shared" si="7"/>
        <v>96671.175000000003</v>
      </c>
      <c r="K224" s="6"/>
    </row>
    <row r="225" spans="1:11" ht="24" x14ac:dyDescent="0.25">
      <c r="A225" s="3">
        <v>38</v>
      </c>
      <c r="B225" s="14" t="s">
        <v>443</v>
      </c>
      <c r="C225" s="15" t="str">
        <f>"MFS/HEP-2015"</f>
        <v>MFS/HEP-2015</v>
      </c>
      <c r="D225" s="15" t="str">
        <f t="shared" si="6"/>
        <v>HEP-OPSKRBA D.O.O.</v>
      </c>
      <c r="E225" s="16">
        <v>42111</v>
      </c>
      <c r="F225" s="16"/>
      <c r="G225" s="13">
        <v>248200</v>
      </c>
      <c r="H225" s="16"/>
      <c r="I225" s="13">
        <v>206440.78</v>
      </c>
      <c r="J225" s="13">
        <f t="shared" si="7"/>
        <v>258050.97500000001</v>
      </c>
      <c r="K225" s="6"/>
    </row>
    <row r="226" spans="1:11" ht="24" x14ac:dyDescent="0.25">
      <c r="A226" s="3">
        <v>39</v>
      </c>
      <c r="B226" s="14" t="s">
        <v>373</v>
      </c>
      <c r="C226" s="15" t="str">
        <f>"KLASA: 406-06/15-01/02"</f>
        <v>KLASA: 406-06/15-01/02</v>
      </c>
      <c r="D226" s="15" t="str">
        <f t="shared" si="6"/>
        <v>HEP-OPSKRBA D.O.O.</v>
      </c>
      <c r="E226" s="16">
        <v>42061</v>
      </c>
      <c r="F226" s="16"/>
      <c r="G226" s="13">
        <v>19246.669999999998</v>
      </c>
      <c r="H226" s="16"/>
      <c r="I226" s="13">
        <v>19246.669999999998</v>
      </c>
      <c r="J226" s="13">
        <f t="shared" si="7"/>
        <v>24058.337499999998</v>
      </c>
      <c r="K226" s="6"/>
    </row>
    <row r="227" spans="1:11" ht="24" x14ac:dyDescent="0.25">
      <c r="A227" s="3">
        <v>40</v>
      </c>
      <c r="B227" s="14" t="s">
        <v>444</v>
      </c>
      <c r="C227" s="15" t="str">
        <f>"U-50/15 (O-15-1631)"</f>
        <v>U-50/15 (O-15-1631)</v>
      </c>
      <c r="D227" s="15" t="str">
        <f t="shared" si="6"/>
        <v>HEP-OPSKRBA D.O.O.</v>
      </c>
      <c r="E227" s="16">
        <v>42149</v>
      </c>
      <c r="F227" s="16"/>
      <c r="G227" s="13">
        <v>485000</v>
      </c>
      <c r="H227" s="16"/>
      <c r="I227" s="13">
        <v>134283.70000000001</v>
      </c>
      <c r="J227" s="13">
        <f t="shared" si="7"/>
        <v>167854.625</v>
      </c>
      <c r="K227" s="6"/>
    </row>
    <row r="228" spans="1:11" x14ac:dyDescent="0.25">
      <c r="A228" s="3">
        <v>41</v>
      </c>
      <c r="B228" s="14" t="s">
        <v>445</v>
      </c>
      <c r="C228" s="15" t="str">
        <f>"O-15-913"</f>
        <v>O-15-913</v>
      </c>
      <c r="D228" s="15" t="str">
        <f t="shared" si="6"/>
        <v>HEP-OPSKRBA D.O.O.</v>
      </c>
      <c r="E228" s="16">
        <v>42030</v>
      </c>
      <c r="F228" s="16"/>
      <c r="G228" s="13">
        <v>131257</v>
      </c>
      <c r="H228" s="16"/>
      <c r="I228" s="13">
        <v>131257</v>
      </c>
      <c r="J228" s="13">
        <f t="shared" si="7"/>
        <v>164071.25</v>
      </c>
      <c r="K228" s="6"/>
    </row>
    <row r="229" spans="1:11" ht="36" x14ac:dyDescent="0.25">
      <c r="A229" s="3">
        <v>42</v>
      </c>
      <c r="B229" s="14" t="s">
        <v>228</v>
      </c>
      <c r="C229" s="15" t="str">
        <f>"O-15-1089"</f>
        <v>O-15-1089</v>
      </c>
      <c r="D229" s="15" t="str">
        <f t="shared" si="6"/>
        <v>HEP-OPSKRBA D.O.O.</v>
      </c>
      <c r="E229" s="16">
        <v>42051</v>
      </c>
      <c r="F229" s="16"/>
      <c r="G229" s="13">
        <v>123484.99</v>
      </c>
      <c r="H229" s="16"/>
      <c r="I229" s="13">
        <v>123484.99</v>
      </c>
      <c r="J229" s="13">
        <f t="shared" si="7"/>
        <v>154356.23750000002</v>
      </c>
      <c r="K229" s="6"/>
    </row>
    <row r="230" spans="1:11" x14ac:dyDescent="0.25">
      <c r="A230" s="3">
        <v>43</v>
      </c>
      <c r="B230" s="14" t="s">
        <v>162</v>
      </c>
      <c r="C230" s="15" t="str">
        <f>"O-15-1908"</f>
        <v>O-15-1908</v>
      </c>
      <c r="D230" s="15" t="str">
        <f t="shared" si="6"/>
        <v>HEP-OPSKRBA D.O.O.</v>
      </c>
      <c r="E230" s="16">
        <v>42193</v>
      </c>
      <c r="F230" s="16"/>
      <c r="G230" s="13">
        <v>6188.62</v>
      </c>
      <c r="H230" s="16"/>
      <c r="I230" s="13">
        <v>6188.62</v>
      </c>
      <c r="J230" s="13">
        <f t="shared" si="7"/>
        <v>7735.7749999999996</v>
      </c>
      <c r="K230" s="6"/>
    </row>
    <row r="231" spans="1:11" ht="24" x14ac:dyDescent="0.25">
      <c r="A231" s="3">
        <v>44</v>
      </c>
      <c r="B231" s="14" t="s">
        <v>446</v>
      </c>
      <c r="C231" s="15" t="str">
        <f>"O-15-615"</f>
        <v>O-15-615</v>
      </c>
      <c r="D231" s="15" t="str">
        <f t="shared" si="6"/>
        <v>HEP-OPSKRBA D.O.O.</v>
      </c>
      <c r="E231" s="16">
        <v>42003</v>
      </c>
      <c r="F231" s="16"/>
      <c r="G231" s="13">
        <v>587057.49</v>
      </c>
      <c r="H231" s="16"/>
      <c r="I231" s="13">
        <v>583287.25</v>
      </c>
      <c r="J231" s="13">
        <f t="shared" si="7"/>
        <v>729109.0625</v>
      </c>
      <c r="K231" s="6"/>
    </row>
    <row r="232" spans="1:11" ht="24" x14ac:dyDescent="0.25">
      <c r="A232" s="3">
        <v>45</v>
      </c>
      <c r="B232" s="14" t="s">
        <v>154</v>
      </c>
      <c r="C232" s="15" t="str">
        <f>"O-15-1544"</f>
        <v>O-15-1544</v>
      </c>
      <c r="D232" s="15" t="str">
        <f t="shared" si="6"/>
        <v>HEP-OPSKRBA D.O.O.</v>
      </c>
      <c r="E232" s="16">
        <v>42128</v>
      </c>
      <c r="F232" s="16"/>
      <c r="G232" s="13">
        <v>89149.51</v>
      </c>
      <c r="H232" s="16"/>
      <c r="I232" s="13">
        <v>89149.51</v>
      </c>
      <c r="J232" s="13">
        <f t="shared" si="7"/>
        <v>111436.8875</v>
      </c>
      <c r="K232" s="6"/>
    </row>
    <row r="233" spans="1:11" ht="24" x14ac:dyDescent="0.25">
      <c r="A233" s="3">
        <v>46</v>
      </c>
      <c r="B233" s="14" t="s">
        <v>360</v>
      </c>
      <c r="C233" s="15" t="str">
        <f>"10210/2575"</f>
        <v>10210/2575</v>
      </c>
      <c r="D233" s="15" t="str">
        <f t="shared" si="6"/>
        <v>HEP-OPSKRBA D.O.O.</v>
      </c>
      <c r="E233" s="16">
        <v>42205</v>
      </c>
      <c r="F233" s="16"/>
      <c r="G233" s="13">
        <v>250000</v>
      </c>
      <c r="H233" s="16"/>
      <c r="I233" s="13">
        <v>123764.41</v>
      </c>
      <c r="J233" s="13">
        <f t="shared" si="7"/>
        <v>154705.51250000001</v>
      </c>
      <c r="K233" s="6"/>
    </row>
    <row r="234" spans="1:11" x14ac:dyDescent="0.25">
      <c r="A234" s="3">
        <v>47</v>
      </c>
      <c r="B234" s="14" t="s">
        <v>263</v>
      </c>
      <c r="C234" s="15" t="str">
        <f>"0-15-1917"</f>
        <v>0-15-1917</v>
      </c>
      <c r="D234" s="15" t="str">
        <f t="shared" si="6"/>
        <v>HEP-OPSKRBA D.O.O.</v>
      </c>
      <c r="E234" s="16">
        <v>42198</v>
      </c>
      <c r="F234" s="16"/>
      <c r="G234" s="13">
        <v>0</v>
      </c>
      <c r="H234" s="16"/>
      <c r="I234" s="13">
        <v>46609.15</v>
      </c>
      <c r="J234" s="13">
        <f t="shared" si="7"/>
        <v>58261.4375</v>
      </c>
      <c r="K234" s="6"/>
    </row>
    <row r="235" spans="1:11" ht="36" x14ac:dyDescent="0.25">
      <c r="A235" s="3">
        <v>48</v>
      </c>
      <c r="B235" s="14" t="s">
        <v>230</v>
      </c>
      <c r="C235" s="15" t="str">
        <f>"O-15-1855"</f>
        <v>O-15-1855</v>
      </c>
      <c r="D235" s="15" t="str">
        <f t="shared" si="6"/>
        <v>HEP-OPSKRBA D.O.O.</v>
      </c>
      <c r="E235" s="16">
        <v>42185</v>
      </c>
      <c r="F235" s="16"/>
      <c r="G235" s="13">
        <v>530807.28</v>
      </c>
      <c r="H235" s="16"/>
      <c r="I235" s="13">
        <v>256948.53</v>
      </c>
      <c r="J235" s="13">
        <f t="shared" si="7"/>
        <v>321185.66249999998</v>
      </c>
      <c r="K235" s="6"/>
    </row>
    <row r="236" spans="1:11" ht="24" x14ac:dyDescent="0.25">
      <c r="A236" s="3">
        <v>49</v>
      </c>
      <c r="B236" s="14" t="s">
        <v>28</v>
      </c>
      <c r="C236" s="15" t="str">
        <f>"MGPU 5/2014"</f>
        <v>MGPU 5/2014</v>
      </c>
      <c r="D236" s="15" t="str">
        <f t="shared" si="6"/>
        <v>HEP-OPSKRBA D.O.O.</v>
      </c>
      <c r="E236" s="16">
        <v>41614</v>
      </c>
      <c r="F236" s="16">
        <v>42369</v>
      </c>
      <c r="G236" s="13">
        <v>272437.40999999997</v>
      </c>
      <c r="H236" s="16">
        <v>42369</v>
      </c>
      <c r="I236" s="13">
        <v>272437.40999999997</v>
      </c>
      <c r="J236" s="13">
        <f t="shared" si="7"/>
        <v>340546.76249999995</v>
      </c>
      <c r="K236" s="6"/>
    </row>
    <row r="237" spans="1:11" ht="24" x14ac:dyDescent="0.25">
      <c r="A237" s="3">
        <v>50</v>
      </c>
      <c r="B237" s="14" t="s">
        <v>166</v>
      </c>
      <c r="C237" s="15" t="str">
        <f>"O-15-1546"</f>
        <v>O-15-1546</v>
      </c>
      <c r="D237" s="15" t="str">
        <f t="shared" si="6"/>
        <v>HEP-OPSKRBA D.O.O.</v>
      </c>
      <c r="E237" s="16">
        <v>42128</v>
      </c>
      <c r="F237" s="16"/>
      <c r="G237" s="13">
        <v>5853.74</v>
      </c>
      <c r="H237" s="16"/>
      <c r="I237" s="13">
        <v>5853.74</v>
      </c>
      <c r="J237" s="13">
        <f t="shared" si="7"/>
        <v>7317.1749999999993</v>
      </c>
      <c r="K237" s="6"/>
    </row>
    <row r="238" spans="1:11" ht="24" x14ac:dyDescent="0.25">
      <c r="A238" s="3">
        <v>51</v>
      </c>
      <c r="B238" s="14" t="s">
        <v>184</v>
      </c>
      <c r="C238" s="15" t="str">
        <f>"O-15-1211"</f>
        <v>O-15-1211</v>
      </c>
      <c r="D238" s="15" t="str">
        <f t="shared" si="6"/>
        <v>HEP-OPSKRBA D.O.O.</v>
      </c>
      <c r="E238" s="16">
        <v>42064</v>
      </c>
      <c r="F238" s="16"/>
      <c r="G238" s="13">
        <v>534724.80000000005</v>
      </c>
      <c r="H238" s="16"/>
      <c r="I238" s="13">
        <v>429394.98</v>
      </c>
      <c r="J238" s="13">
        <f t="shared" si="7"/>
        <v>536743.72499999998</v>
      </c>
      <c r="K238" s="6"/>
    </row>
    <row r="239" spans="1:11" x14ac:dyDescent="0.25">
      <c r="A239" s="3">
        <v>52</v>
      </c>
      <c r="B239" s="14" t="s">
        <v>382</v>
      </c>
      <c r="C239" s="15" t="str">
        <f>"01-1096/14"</f>
        <v>01-1096/14</v>
      </c>
      <c r="D239" s="15" t="str">
        <f t="shared" si="6"/>
        <v>HEP-OPSKRBA D.O.O.</v>
      </c>
      <c r="E239" s="16">
        <v>42003</v>
      </c>
      <c r="F239" s="16"/>
      <c r="G239" s="13">
        <v>107209.85</v>
      </c>
      <c r="H239" s="16"/>
      <c r="I239" s="13">
        <v>123767.88</v>
      </c>
      <c r="J239" s="13">
        <f t="shared" si="7"/>
        <v>154709.85</v>
      </c>
      <c r="K239" s="6"/>
    </row>
    <row r="240" spans="1:11" ht="24" x14ac:dyDescent="0.25">
      <c r="A240" s="3">
        <v>53</v>
      </c>
      <c r="B240" s="14" t="s">
        <v>447</v>
      </c>
      <c r="C240" s="15" t="str">
        <f>"O-15-553"</f>
        <v>O-15-553</v>
      </c>
      <c r="D240" s="15" t="str">
        <f t="shared" si="6"/>
        <v>HEP-OPSKRBA D.O.O.</v>
      </c>
      <c r="E240" s="16">
        <v>41996</v>
      </c>
      <c r="F240" s="16"/>
      <c r="G240" s="13">
        <v>335787.99</v>
      </c>
      <c r="H240" s="16"/>
      <c r="I240" s="13">
        <v>335787.99</v>
      </c>
      <c r="J240" s="13">
        <f t="shared" si="7"/>
        <v>419734.98749999999</v>
      </c>
      <c r="K240" s="6"/>
    </row>
    <row r="241" spans="1:11" x14ac:dyDescent="0.25">
      <c r="A241" s="3">
        <v>54</v>
      </c>
      <c r="B241" s="14" t="s">
        <v>263</v>
      </c>
      <c r="C241" s="15" t="str">
        <f>"O-15-1917"</f>
        <v>O-15-1917</v>
      </c>
      <c r="D241" s="15" t="str">
        <f t="shared" si="6"/>
        <v>HEP-OPSKRBA D.O.O.</v>
      </c>
      <c r="E241" s="16">
        <v>42198</v>
      </c>
      <c r="F241" s="16"/>
      <c r="G241" s="13">
        <v>46609.15</v>
      </c>
      <c r="H241" s="16"/>
      <c r="I241" s="13">
        <v>46609.15</v>
      </c>
      <c r="J241" s="13">
        <f t="shared" si="7"/>
        <v>58261.4375</v>
      </c>
      <c r="K241" s="6"/>
    </row>
    <row r="242" spans="1:11" ht="24" x14ac:dyDescent="0.25">
      <c r="A242" s="3">
        <v>55</v>
      </c>
      <c r="B242" s="14" t="s">
        <v>448</v>
      </c>
      <c r="C242" s="15" t="str">
        <f>"O-15-566"</f>
        <v>O-15-566</v>
      </c>
      <c r="D242" s="15" t="str">
        <f t="shared" si="6"/>
        <v>HEP-OPSKRBA D.O.O.</v>
      </c>
      <c r="E242" s="16">
        <v>41996</v>
      </c>
      <c r="F242" s="16"/>
      <c r="G242" s="13">
        <v>223578.59</v>
      </c>
      <c r="H242" s="16"/>
      <c r="I242" s="13">
        <v>223578.59</v>
      </c>
      <c r="J242" s="13">
        <f t="shared" si="7"/>
        <v>279473.23749999999</v>
      </c>
      <c r="K242" s="6"/>
    </row>
    <row r="243" spans="1:11" x14ac:dyDescent="0.25">
      <c r="A243" s="3">
        <v>56</v>
      </c>
      <c r="B243" s="14" t="s">
        <v>162</v>
      </c>
      <c r="C243" s="15" t="str">
        <f>"O -15 - 1908"</f>
        <v>O -15 - 1908</v>
      </c>
      <c r="D243" s="15" t="str">
        <f t="shared" si="6"/>
        <v>HEP-OPSKRBA D.O.O.</v>
      </c>
      <c r="E243" s="16">
        <v>42193</v>
      </c>
      <c r="F243" s="16"/>
      <c r="G243" s="13">
        <v>16065</v>
      </c>
      <c r="H243" s="16"/>
      <c r="I243" s="13">
        <v>7735.78</v>
      </c>
      <c r="J243" s="13">
        <f t="shared" si="7"/>
        <v>9669.7250000000004</v>
      </c>
      <c r="K243" s="6"/>
    </row>
    <row r="244" spans="1:11" ht="36" x14ac:dyDescent="0.25">
      <c r="A244" s="3">
        <v>57</v>
      </c>
      <c r="B244" s="14" t="s">
        <v>150</v>
      </c>
      <c r="C244" s="15" t="str">
        <f>"O-15-787"</f>
        <v>O-15-787</v>
      </c>
      <c r="D244" s="15" t="str">
        <f t="shared" si="6"/>
        <v>HEP-OPSKRBA D.O.O.</v>
      </c>
      <c r="E244" s="16">
        <v>42024</v>
      </c>
      <c r="F244" s="16"/>
      <c r="G244" s="13">
        <v>60120</v>
      </c>
      <c r="H244" s="16"/>
      <c r="I244" s="13">
        <v>60120</v>
      </c>
      <c r="J244" s="13">
        <f t="shared" si="7"/>
        <v>75150</v>
      </c>
      <c r="K244" s="6"/>
    </row>
    <row r="245" spans="1:11" x14ac:dyDescent="0.25">
      <c r="A245" s="3">
        <v>58</v>
      </c>
      <c r="B245" s="14" t="s">
        <v>449</v>
      </c>
      <c r="C245" s="15" t="str">
        <f>"O-15-1438"</f>
        <v>O-15-1438</v>
      </c>
      <c r="D245" s="15" t="str">
        <f t="shared" si="6"/>
        <v>HEP-OPSKRBA D.O.O.</v>
      </c>
      <c r="E245" s="16">
        <v>42125</v>
      </c>
      <c r="F245" s="16">
        <v>42491</v>
      </c>
      <c r="G245" s="13">
        <v>0</v>
      </c>
      <c r="H245" s="16">
        <v>42491</v>
      </c>
      <c r="I245" s="13">
        <v>115386.59</v>
      </c>
      <c r="J245" s="13">
        <f t="shared" si="7"/>
        <v>144233.23749999999</v>
      </c>
      <c r="K245" s="6"/>
    </row>
    <row r="246" spans="1:11" x14ac:dyDescent="0.25">
      <c r="A246" s="3">
        <v>59</v>
      </c>
      <c r="B246" s="14" t="s">
        <v>218</v>
      </c>
      <c r="C246" s="15" t="str">
        <f>"O-15-838"</f>
        <v>O-15-838</v>
      </c>
      <c r="D246" s="15" t="str">
        <f t="shared" si="6"/>
        <v>HEP-OPSKRBA D.O.O.</v>
      </c>
      <c r="E246" s="16">
        <v>42023</v>
      </c>
      <c r="F246" s="16"/>
      <c r="G246" s="13">
        <v>15000</v>
      </c>
      <c r="H246" s="16"/>
      <c r="I246" s="13">
        <v>3500</v>
      </c>
      <c r="J246" s="13">
        <f t="shared" si="7"/>
        <v>4375</v>
      </c>
      <c r="K246" s="6"/>
    </row>
    <row r="247" spans="1:11" ht="48" x14ac:dyDescent="0.25">
      <c r="A247" s="3">
        <v>60</v>
      </c>
      <c r="B247" s="14" t="s">
        <v>450</v>
      </c>
      <c r="C247" s="15" t="str">
        <f>"O-15-543"</f>
        <v>O-15-543</v>
      </c>
      <c r="D247" s="15" t="str">
        <f t="shared" si="6"/>
        <v>HEP-OPSKRBA D.O.O.</v>
      </c>
      <c r="E247" s="16">
        <v>41996</v>
      </c>
      <c r="F247" s="16"/>
      <c r="G247" s="13">
        <v>50490</v>
      </c>
      <c r="H247" s="16"/>
      <c r="I247" s="13">
        <v>46084.39</v>
      </c>
      <c r="J247" s="13">
        <f t="shared" si="7"/>
        <v>57605.487500000003</v>
      </c>
      <c r="K247" s="6"/>
    </row>
    <row r="248" spans="1:11" ht="36" x14ac:dyDescent="0.25">
      <c r="A248" s="3">
        <v>61</v>
      </c>
      <c r="B248" s="14" t="s">
        <v>451</v>
      </c>
      <c r="C248" s="15" t="str">
        <f>"406-01/14-03/05"</f>
        <v>406-01/14-03/05</v>
      </c>
      <c r="D248" s="15" t="str">
        <f t="shared" si="6"/>
        <v>HEP-OPSKRBA D.O.O.</v>
      </c>
      <c r="E248" s="16">
        <v>41991</v>
      </c>
      <c r="F248" s="16"/>
      <c r="G248" s="13">
        <v>30000</v>
      </c>
      <c r="H248" s="16"/>
      <c r="I248" s="13">
        <v>23756.22</v>
      </c>
      <c r="J248" s="13">
        <f t="shared" si="7"/>
        <v>29695.275000000001</v>
      </c>
      <c r="K248" s="6"/>
    </row>
    <row r="249" spans="1:11" ht="24" x14ac:dyDescent="0.25">
      <c r="A249" s="3">
        <v>62</v>
      </c>
      <c r="B249" s="14" t="s">
        <v>380</v>
      </c>
      <c r="C249" s="15" t="str">
        <f>"O-15-2119"</f>
        <v>O-15-2119</v>
      </c>
      <c r="D249" s="15" t="str">
        <f t="shared" si="6"/>
        <v>HEP-OPSKRBA D.O.O.</v>
      </c>
      <c r="E249" s="16">
        <v>42248</v>
      </c>
      <c r="F249" s="16">
        <v>42613</v>
      </c>
      <c r="G249" s="13">
        <v>16000</v>
      </c>
      <c r="H249" s="16">
        <v>42613</v>
      </c>
      <c r="I249" s="13">
        <v>5080</v>
      </c>
      <c r="J249" s="13">
        <f t="shared" si="7"/>
        <v>6350</v>
      </c>
      <c r="K249" s="6"/>
    </row>
    <row r="250" spans="1:11" x14ac:dyDescent="0.25">
      <c r="A250" s="3">
        <v>63</v>
      </c>
      <c r="B250" s="14" t="s">
        <v>301</v>
      </c>
      <c r="C250" s="15" t="str">
        <f>"O-15-1915"</f>
        <v>O-15-1915</v>
      </c>
      <c r="D250" s="15" t="str">
        <f t="shared" si="6"/>
        <v>HEP-OPSKRBA D.O.O.</v>
      </c>
      <c r="E250" s="16">
        <v>42248</v>
      </c>
      <c r="F250" s="16">
        <v>42333</v>
      </c>
      <c r="G250" s="13">
        <v>3895.64</v>
      </c>
      <c r="H250" s="16">
        <v>42333</v>
      </c>
      <c r="I250" s="13">
        <v>3895.64</v>
      </c>
      <c r="J250" s="13">
        <f t="shared" si="7"/>
        <v>4869.55</v>
      </c>
      <c r="K250" s="6"/>
    </row>
    <row r="251" spans="1:11" x14ac:dyDescent="0.25">
      <c r="A251" s="3">
        <v>64</v>
      </c>
      <c r="B251" s="14" t="s">
        <v>452</v>
      </c>
      <c r="C251" s="15" t="str">
        <f>"O-15-2107"</f>
        <v>O-15-2107</v>
      </c>
      <c r="D251" s="15" t="str">
        <f t="shared" ref="D251:D312" si="8">CONCATENATE("HEP-OPSKRBA D.O.O.")</f>
        <v>HEP-OPSKRBA D.O.O.</v>
      </c>
      <c r="E251" s="16">
        <v>42240</v>
      </c>
      <c r="F251" s="16">
        <v>42613</v>
      </c>
      <c r="G251" s="13">
        <v>32501.45</v>
      </c>
      <c r="H251" s="16">
        <v>42613</v>
      </c>
      <c r="I251" s="13">
        <v>139041.43</v>
      </c>
      <c r="J251" s="13">
        <f t="shared" si="7"/>
        <v>173801.78749999998</v>
      </c>
      <c r="K251" s="6"/>
    </row>
    <row r="252" spans="1:11" ht="24" x14ac:dyDescent="0.25">
      <c r="A252" s="3">
        <v>65</v>
      </c>
      <c r="B252" s="14" t="s">
        <v>164</v>
      </c>
      <c r="C252" s="15" t="str">
        <f>"O-15-2087"</f>
        <v>O-15-2087</v>
      </c>
      <c r="D252" s="15" t="str">
        <f t="shared" si="8"/>
        <v>HEP-OPSKRBA D.O.O.</v>
      </c>
      <c r="E252" s="16">
        <v>42429</v>
      </c>
      <c r="F252" s="16"/>
      <c r="G252" s="13">
        <v>17740.93</v>
      </c>
      <c r="H252" s="16"/>
      <c r="I252" s="13">
        <v>19742.689999999999</v>
      </c>
      <c r="J252" s="13">
        <f t="shared" ref="J252:J313" si="9">I252*1.25</f>
        <v>24678.362499999999</v>
      </c>
      <c r="K252" s="6"/>
    </row>
    <row r="253" spans="1:11" x14ac:dyDescent="0.25">
      <c r="A253" s="3">
        <v>66</v>
      </c>
      <c r="B253" s="14" t="s">
        <v>453</v>
      </c>
      <c r="C253" s="15" t="str">
        <f>"O-15-2102"</f>
        <v>O-15-2102</v>
      </c>
      <c r="D253" s="15" t="str">
        <f t="shared" si="8"/>
        <v>HEP-OPSKRBA D.O.O.</v>
      </c>
      <c r="E253" s="16">
        <v>42240</v>
      </c>
      <c r="F253" s="16">
        <v>42613</v>
      </c>
      <c r="G253" s="13">
        <v>23309.55</v>
      </c>
      <c r="H253" s="16">
        <v>42613</v>
      </c>
      <c r="I253" s="40">
        <v>0</v>
      </c>
      <c r="J253" s="40">
        <f t="shared" si="9"/>
        <v>0</v>
      </c>
      <c r="K253" s="6"/>
    </row>
    <row r="254" spans="1:11" x14ac:dyDescent="0.25">
      <c r="A254" s="3">
        <v>67</v>
      </c>
      <c r="B254" s="14" t="s">
        <v>158</v>
      </c>
      <c r="C254" s="15" t="str">
        <f>"O-15-1937"</f>
        <v>O-15-1937</v>
      </c>
      <c r="D254" s="15" t="str">
        <f t="shared" si="8"/>
        <v>HEP-OPSKRBA D.O.O.</v>
      </c>
      <c r="E254" s="16">
        <v>42200</v>
      </c>
      <c r="F254" s="16">
        <v>42582</v>
      </c>
      <c r="G254" s="13">
        <v>98600</v>
      </c>
      <c r="H254" s="16">
        <v>42582</v>
      </c>
      <c r="I254" s="13">
        <v>26402.22</v>
      </c>
      <c r="J254" s="13">
        <f t="shared" si="9"/>
        <v>33002.775000000001</v>
      </c>
      <c r="K254" s="6"/>
    </row>
    <row r="255" spans="1:11" ht="24" x14ac:dyDescent="0.25">
      <c r="A255" s="3">
        <v>68</v>
      </c>
      <c r="B255" s="14" t="s">
        <v>151</v>
      </c>
      <c r="C255" s="15" t="str">
        <f>"O-15-1574"</f>
        <v>O-15-1574</v>
      </c>
      <c r="D255" s="15" t="str">
        <f t="shared" si="8"/>
        <v>HEP-OPSKRBA D.O.O.</v>
      </c>
      <c r="E255" s="16">
        <v>42146</v>
      </c>
      <c r="F255" s="16">
        <v>42948</v>
      </c>
      <c r="G255" s="13">
        <v>0</v>
      </c>
      <c r="H255" s="16">
        <v>42948</v>
      </c>
      <c r="I255" s="13">
        <v>62058.69</v>
      </c>
      <c r="J255" s="13">
        <f t="shared" si="9"/>
        <v>77573.362500000003</v>
      </c>
      <c r="K255" s="6"/>
    </row>
    <row r="256" spans="1:11" x14ac:dyDescent="0.25">
      <c r="A256" s="3">
        <v>69</v>
      </c>
      <c r="B256" s="14" t="s">
        <v>177</v>
      </c>
      <c r="C256" s="15" t="str">
        <f>"O-15-366"</f>
        <v>O-15-366</v>
      </c>
      <c r="D256" s="15" t="str">
        <f t="shared" si="8"/>
        <v>HEP-OPSKRBA D.O.O.</v>
      </c>
      <c r="E256" s="16">
        <v>42198</v>
      </c>
      <c r="F256" s="16">
        <v>42582</v>
      </c>
      <c r="G256" s="13">
        <v>597087.6</v>
      </c>
      <c r="H256" s="16">
        <v>42582</v>
      </c>
      <c r="I256" s="13">
        <v>206405.59</v>
      </c>
      <c r="J256" s="13">
        <f t="shared" si="9"/>
        <v>258006.98749999999</v>
      </c>
      <c r="K256" s="6"/>
    </row>
    <row r="257" spans="1:11" ht="24" x14ac:dyDescent="0.25">
      <c r="A257" s="3">
        <v>70</v>
      </c>
      <c r="B257" s="14" t="s">
        <v>454</v>
      </c>
      <c r="C257" s="15" t="str">
        <f>"O-15-1918"</f>
        <v>O-15-1918</v>
      </c>
      <c r="D257" s="15" t="str">
        <f t="shared" si="8"/>
        <v>HEP-OPSKRBA D.O.O.</v>
      </c>
      <c r="E257" s="16">
        <v>42205</v>
      </c>
      <c r="F257" s="16">
        <v>42582</v>
      </c>
      <c r="G257" s="13">
        <v>4921.5</v>
      </c>
      <c r="H257" s="16">
        <v>42582</v>
      </c>
      <c r="I257" s="13">
        <v>9105.2900000000009</v>
      </c>
      <c r="J257" s="13">
        <f t="shared" si="9"/>
        <v>11381.612500000001</v>
      </c>
      <c r="K257" s="6"/>
    </row>
    <row r="258" spans="1:11" ht="24" x14ac:dyDescent="0.25">
      <c r="A258" s="3">
        <v>71</v>
      </c>
      <c r="B258" s="14" t="s">
        <v>455</v>
      </c>
      <c r="C258" s="15" t="str">
        <f>"O-15-1956"</f>
        <v>O-15-1956</v>
      </c>
      <c r="D258" s="15" t="str">
        <f t="shared" si="8"/>
        <v>HEP-OPSKRBA D.O.O.</v>
      </c>
      <c r="E258" s="16">
        <v>42205</v>
      </c>
      <c r="F258" s="16"/>
      <c r="G258" s="13">
        <v>5100</v>
      </c>
      <c r="H258" s="16"/>
      <c r="I258" s="13">
        <v>1346</v>
      </c>
      <c r="J258" s="13">
        <f t="shared" si="9"/>
        <v>1682.5</v>
      </c>
      <c r="K258" s="6"/>
    </row>
    <row r="259" spans="1:11" ht="24" x14ac:dyDescent="0.25">
      <c r="A259" s="3">
        <v>72</v>
      </c>
      <c r="B259" s="14" t="s">
        <v>456</v>
      </c>
      <c r="C259" s="15" t="str">
        <f>"O-15-1806"</f>
        <v>O-15-1806</v>
      </c>
      <c r="D259" s="15" t="str">
        <f t="shared" si="8"/>
        <v>HEP-OPSKRBA D.O.O.</v>
      </c>
      <c r="E259" s="16">
        <v>42424</v>
      </c>
      <c r="F259" s="16">
        <v>42582</v>
      </c>
      <c r="G259" s="13">
        <v>60000</v>
      </c>
      <c r="H259" s="16">
        <v>42582</v>
      </c>
      <c r="I259" s="13">
        <v>7163.06</v>
      </c>
      <c r="J259" s="13">
        <f t="shared" si="9"/>
        <v>8953.8250000000007</v>
      </c>
      <c r="K259" s="6"/>
    </row>
    <row r="260" spans="1:11" ht="24" x14ac:dyDescent="0.25">
      <c r="A260" s="3">
        <v>73</v>
      </c>
      <c r="B260" s="14" t="s">
        <v>457</v>
      </c>
      <c r="C260" s="15" t="str">
        <f>"O-15-1716"</f>
        <v>O-15-1716</v>
      </c>
      <c r="D260" s="15" t="str">
        <f t="shared" si="8"/>
        <v>HEP-OPSKRBA D.O.O.</v>
      </c>
      <c r="E260" s="16">
        <v>42167</v>
      </c>
      <c r="F260" s="16"/>
      <c r="G260" s="13">
        <v>10312</v>
      </c>
      <c r="H260" s="16"/>
      <c r="I260" s="13">
        <v>10312</v>
      </c>
      <c r="J260" s="13">
        <f t="shared" si="9"/>
        <v>12890</v>
      </c>
      <c r="K260" s="6"/>
    </row>
    <row r="261" spans="1:11" ht="24" x14ac:dyDescent="0.25">
      <c r="A261" s="3">
        <v>74</v>
      </c>
      <c r="B261" s="14" t="s">
        <v>246</v>
      </c>
      <c r="C261" s="15" t="str">
        <f>"I-121/15"</f>
        <v>I-121/15</v>
      </c>
      <c r="D261" s="15" t="str">
        <f t="shared" si="8"/>
        <v>HEP-OPSKRBA D.O.O.</v>
      </c>
      <c r="E261" s="16">
        <v>42164</v>
      </c>
      <c r="F261" s="16">
        <v>42552</v>
      </c>
      <c r="G261" s="13">
        <v>336400</v>
      </c>
      <c r="H261" s="16">
        <v>42552</v>
      </c>
      <c r="I261" s="13">
        <v>107313.61</v>
      </c>
      <c r="J261" s="13">
        <f t="shared" si="9"/>
        <v>134142.01250000001</v>
      </c>
      <c r="K261" s="6"/>
    </row>
    <row r="262" spans="1:11" ht="24" x14ac:dyDescent="0.25">
      <c r="A262" s="3">
        <v>75</v>
      </c>
      <c r="B262" s="14" t="s">
        <v>458</v>
      </c>
      <c r="C262" s="15" t="str">
        <f>"O-15-1673"</f>
        <v>O-15-1673</v>
      </c>
      <c r="D262" s="15" t="str">
        <f t="shared" si="8"/>
        <v>HEP-OPSKRBA D.O.O.</v>
      </c>
      <c r="E262" s="16">
        <v>42157</v>
      </c>
      <c r="F262" s="16">
        <v>42551</v>
      </c>
      <c r="G262" s="13">
        <v>29070</v>
      </c>
      <c r="H262" s="16">
        <v>42551</v>
      </c>
      <c r="I262" s="13">
        <v>15603.58</v>
      </c>
      <c r="J262" s="13">
        <f t="shared" si="9"/>
        <v>19504.474999999999</v>
      </c>
      <c r="K262" s="6"/>
    </row>
    <row r="263" spans="1:11" ht="24" x14ac:dyDescent="0.25">
      <c r="A263" s="3">
        <v>76</v>
      </c>
      <c r="B263" s="14" t="s">
        <v>213</v>
      </c>
      <c r="C263" s="15" t="str">
        <f>"O-15-1768"</f>
        <v>O-15-1768</v>
      </c>
      <c r="D263" s="15" t="str">
        <f t="shared" si="8"/>
        <v>HEP-OPSKRBA D.O.O.</v>
      </c>
      <c r="E263" s="16">
        <v>42179</v>
      </c>
      <c r="F263" s="16"/>
      <c r="G263" s="13">
        <v>250000</v>
      </c>
      <c r="H263" s="16"/>
      <c r="I263" s="13">
        <v>135261.47</v>
      </c>
      <c r="J263" s="13">
        <f t="shared" si="9"/>
        <v>169076.83749999999</v>
      </c>
      <c r="K263" s="6"/>
    </row>
    <row r="264" spans="1:11" x14ac:dyDescent="0.25">
      <c r="A264" s="3">
        <v>77</v>
      </c>
      <c r="B264" s="14" t="s">
        <v>459</v>
      </c>
      <c r="C264" s="15" t="str">
        <f>"O-15-1380"</f>
        <v>O-15-1380</v>
      </c>
      <c r="D264" s="15" t="str">
        <f t="shared" si="8"/>
        <v>HEP-OPSKRBA D.O.O.</v>
      </c>
      <c r="E264" s="16">
        <v>42144</v>
      </c>
      <c r="F264" s="16">
        <v>42521</v>
      </c>
      <c r="G264" s="13">
        <v>83909.45</v>
      </c>
      <c r="H264" s="16">
        <v>42521</v>
      </c>
      <c r="I264" s="13">
        <v>39182.300000000003</v>
      </c>
      <c r="J264" s="13">
        <f t="shared" si="9"/>
        <v>48977.875</v>
      </c>
      <c r="K264" s="6"/>
    </row>
    <row r="265" spans="1:11" x14ac:dyDescent="0.25">
      <c r="A265" s="3">
        <v>78</v>
      </c>
      <c r="B265" s="14" t="s">
        <v>460</v>
      </c>
      <c r="C265" s="15" t="str">
        <f>"O-15-1549"</f>
        <v>O-15-1549</v>
      </c>
      <c r="D265" s="15" t="str">
        <f t="shared" si="8"/>
        <v>HEP-OPSKRBA D.O.O.</v>
      </c>
      <c r="E265" s="16">
        <v>42132</v>
      </c>
      <c r="F265" s="16">
        <v>42521</v>
      </c>
      <c r="G265" s="13">
        <v>10540</v>
      </c>
      <c r="H265" s="16">
        <v>42521</v>
      </c>
      <c r="I265" s="13">
        <v>7930.56</v>
      </c>
      <c r="J265" s="13">
        <f t="shared" si="9"/>
        <v>9913.2000000000007</v>
      </c>
      <c r="K265" s="6"/>
    </row>
    <row r="266" spans="1:11" ht="36" x14ac:dyDescent="0.25">
      <c r="A266" s="3">
        <v>79</v>
      </c>
      <c r="B266" s="14" t="s">
        <v>461</v>
      </c>
      <c r="C266" s="15" t="str">
        <f>"O-15-1551"</f>
        <v>O-15-1551</v>
      </c>
      <c r="D266" s="15" t="str">
        <f t="shared" si="8"/>
        <v>HEP-OPSKRBA D.O.O.</v>
      </c>
      <c r="E266" s="16">
        <v>42143</v>
      </c>
      <c r="F266" s="16">
        <v>42521</v>
      </c>
      <c r="G266" s="13">
        <v>7875.25</v>
      </c>
      <c r="H266" s="16">
        <v>42521</v>
      </c>
      <c r="I266" s="13">
        <v>6581.42</v>
      </c>
      <c r="J266" s="13">
        <f t="shared" si="9"/>
        <v>8226.7749999999996</v>
      </c>
      <c r="K266" s="6"/>
    </row>
    <row r="267" spans="1:11" ht="24" x14ac:dyDescent="0.25">
      <c r="A267" s="3">
        <v>80</v>
      </c>
      <c r="B267" s="14" t="s">
        <v>462</v>
      </c>
      <c r="C267" s="15" t="str">
        <f>"O-15-1641"</f>
        <v>O-15-1641</v>
      </c>
      <c r="D267" s="15" t="str">
        <f t="shared" si="8"/>
        <v>HEP-OPSKRBA D.O.O.</v>
      </c>
      <c r="E267" s="16">
        <v>42152</v>
      </c>
      <c r="F267" s="16"/>
      <c r="G267" s="13">
        <v>7596.89</v>
      </c>
      <c r="H267" s="16"/>
      <c r="I267" s="13">
        <v>7596.89</v>
      </c>
      <c r="J267" s="13">
        <f t="shared" si="9"/>
        <v>9496.1125000000011</v>
      </c>
      <c r="K267" s="6"/>
    </row>
    <row r="268" spans="1:11" ht="24" x14ac:dyDescent="0.25">
      <c r="A268" s="3">
        <v>81</v>
      </c>
      <c r="B268" s="14" t="s">
        <v>463</v>
      </c>
      <c r="C268" s="15" t="str">
        <f>"O-15-1447"</f>
        <v>O-15-1447</v>
      </c>
      <c r="D268" s="15" t="str">
        <f t="shared" si="8"/>
        <v>HEP-OPSKRBA D.O.O.</v>
      </c>
      <c r="E268" s="16">
        <v>42118</v>
      </c>
      <c r="F268" s="16">
        <v>42490</v>
      </c>
      <c r="G268" s="13">
        <v>77126.03</v>
      </c>
      <c r="H268" s="16">
        <v>42490</v>
      </c>
      <c r="I268" s="40">
        <v>0</v>
      </c>
      <c r="J268" s="40">
        <f t="shared" si="9"/>
        <v>0</v>
      </c>
      <c r="K268" s="6"/>
    </row>
    <row r="269" spans="1:11" ht="36" x14ac:dyDescent="0.25">
      <c r="A269" s="3">
        <v>82</v>
      </c>
      <c r="B269" s="14" t="s">
        <v>160</v>
      </c>
      <c r="C269" s="15" t="str">
        <f>"O-15-1428"</f>
        <v>O-15-1428</v>
      </c>
      <c r="D269" s="15" t="str">
        <f t="shared" si="8"/>
        <v>HEP-OPSKRBA D.O.O.</v>
      </c>
      <c r="E269" s="16">
        <v>42101</v>
      </c>
      <c r="F269" s="16">
        <v>42490</v>
      </c>
      <c r="G269" s="13">
        <v>235690.98</v>
      </c>
      <c r="H269" s="16">
        <v>42490</v>
      </c>
      <c r="I269" s="13">
        <v>134297.73000000001</v>
      </c>
      <c r="J269" s="13">
        <f t="shared" si="9"/>
        <v>167872.16250000001</v>
      </c>
      <c r="K269" s="6"/>
    </row>
    <row r="270" spans="1:11" ht="36" x14ac:dyDescent="0.25">
      <c r="A270" s="3">
        <v>83</v>
      </c>
      <c r="B270" s="14" t="s">
        <v>180</v>
      </c>
      <c r="C270" s="15" t="str">
        <f>"O-15-1480"</f>
        <v>O-15-1480</v>
      </c>
      <c r="D270" s="15" t="str">
        <f t="shared" si="8"/>
        <v>HEP-OPSKRBA D.O.O.</v>
      </c>
      <c r="E270" s="16">
        <v>42125</v>
      </c>
      <c r="F270" s="16">
        <v>42490</v>
      </c>
      <c r="G270" s="13">
        <v>700000</v>
      </c>
      <c r="H270" s="16">
        <v>42490</v>
      </c>
      <c r="I270" s="13">
        <v>287554.12</v>
      </c>
      <c r="J270" s="13">
        <f t="shared" si="9"/>
        <v>359442.65</v>
      </c>
      <c r="K270" s="6"/>
    </row>
    <row r="271" spans="1:11" ht="48" x14ac:dyDescent="0.25">
      <c r="A271" s="3">
        <v>84</v>
      </c>
      <c r="B271" s="14" t="s">
        <v>464</v>
      </c>
      <c r="C271" s="15" t="str">
        <f>"O-15-1454"</f>
        <v>O-15-1454</v>
      </c>
      <c r="D271" s="15" t="str">
        <f t="shared" si="8"/>
        <v>HEP-OPSKRBA D.O.O.</v>
      </c>
      <c r="E271" s="16">
        <v>42125</v>
      </c>
      <c r="F271" s="16"/>
      <c r="G271" s="13">
        <v>27110</v>
      </c>
      <c r="H271" s="16"/>
      <c r="I271" s="13">
        <v>24924.6</v>
      </c>
      <c r="J271" s="13">
        <f t="shared" si="9"/>
        <v>31155.75</v>
      </c>
      <c r="K271" s="6"/>
    </row>
    <row r="272" spans="1:11" ht="24" x14ac:dyDescent="0.25">
      <c r="A272" s="3">
        <v>85</v>
      </c>
      <c r="B272" s="14" t="s">
        <v>255</v>
      </c>
      <c r="C272" s="15" t="str">
        <f>"251-56-01-15-43-1-32"</f>
        <v>251-56-01-15-43-1-32</v>
      </c>
      <c r="D272" s="15" t="str">
        <f t="shared" si="8"/>
        <v>HEP-OPSKRBA D.O.O.</v>
      </c>
      <c r="E272" s="16">
        <v>42107</v>
      </c>
      <c r="F272" s="16">
        <v>42490</v>
      </c>
      <c r="G272" s="13">
        <v>580000</v>
      </c>
      <c r="H272" s="16">
        <v>42490</v>
      </c>
      <c r="I272" s="13">
        <v>396318.46</v>
      </c>
      <c r="J272" s="13">
        <f t="shared" si="9"/>
        <v>495398.07500000001</v>
      </c>
      <c r="K272" s="6"/>
    </row>
    <row r="273" spans="1:11" x14ac:dyDescent="0.25">
      <c r="A273" s="3">
        <v>86</v>
      </c>
      <c r="B273" s="14" t="s">
        <v>179</v>
      </c>
      <c r="C273" s="15" t="str">
        <f>"O-15-1455"</f>
        <v>O-15-1455</v>
      </c>
      <c r="D273" s="15" t="str">
        <f t="shared" si="8"/>
        <v>HEP-OPSKRBA D.O.O.</v>
      </c>
      <c r="E273" s="16">
        <v>42114</v>
      </c>
      <c r="F273" s="16">
        <v>42491</v>
      </c>
      <c r="G273" s="13">
        <v>177362.7</v>
      </c>
      <c r="H273" s="16">
        <v>42491</v>
      </c>
      <c r="I273" s="13">
        <v>126150.41</v>
      </c>
      <c r="J273" s="13">
        <f t="shared" si="9"/>
        <v>157688.01250000001</v>
      </c>
      <c r="K273" s="6"/>
    </row>
    <row r="274" spans="1:11" ht="24" x14ac:dyDescent="0.25">
      <c r="A274" s="3">
        <v>87</v>
      </c>
      <c r="B274" s="14" t="s">
        <v>465</v>
      </c>
      <c r="C274" s="15" t="str">
        <f>"O-15-1373"</f>
        <v>O-15-1373</v>
      </c>
      <c r="D274" s="15" t="str">
        <f t="shared" si="8"/>
        <v>HEP-OPSKRBA D.O.O.</v>
      </c>
      <c r="E274" s="16">
        <v>42087</v>
      </c>
      <c r="F274" s="16">
        <v>42460</v>
      </c>
      <c r="G274" s="13">
        <v>10154.1</v>
      </c>
      <c r="H274" s="16">
        <v>42460</v>
      </c>
      <c r="I274" s="40">
        <v>0</v>
      </c>
      <c r="J274" s="40">
        <f t="shared" si="9"/>
        <v>0</v>
      </c>
      <c r="K274" s="6"/>
    </row>
    <row r="275" spans="1:11" ht="24" x14ac:dyDescent="0.25">
      <c r="A275" s="3">
        <v>88</v>
      </c>
      <c r="B275" s="14" t="s">
        <v>466</v>
      </c>
      <c r="C275" s="15" t="str">
        <f>"O-15-1376"</f>
        <v>O-15-1376</v>
      </c>
      <c r="D275" s="15" t="str">
        <f t="shared" si="8"/>
        <v>HEP-OPSKRBA D.O.O.</v>
      </c>
      <c r="E275" s="16">
        <v>42093</v>
      </c>
      <c r="F275" s="16">
        <v>42460</v>
      </c>
      <c r="G275" s="13">
        <v>18620.099999999999</v>
      </c>
      <c r="H275" s="16">
        <v>42460</v>
      </c>
      <c r="I275" s="13">
        <v>8045.82</v>
      </c>
      <c r="J275" s="13">
        <f t="shared" si="9"/>
        <v>10057.275</v>
      </c>
      <c r="K275" s="6"/>
    </row>
    <row r="276" spans="1:11" ht="24" x14ac:dyDescent="0.25">
      <c r="A276" s="3">
        <v>89</v>
      </c>
      <c r="B276" s="14" t="s">
        <v>467</v>
      </c>
      <c r="C276" s="15" t="str">
        <f>"O-15-1302"</f>
        <v>O-15-1302</v>
      </c>
      <c r="D276" s="15" t="str">
        <f t="shared" si="8"/>
        <v>HEP-OPSKRBA D.O.O.</v>
      </c>
      <c r="E276" s="16">
        <v>42082</v>
      </c>
      <c r="F276" s="16">
        <v>42460</v>
      </c>
      <c r="G276" s="13">
        <v>56380.5</v>
      </c>
      <c r="H276" s="16">
        <v>42460</v>
      </c>
      <c r="I276" s="13">
        <v>140020.42000000001</v>
      </c>
      <c r="J276" s="13">
        <f t="shared" si="9"/>
        <v>175025.52500000002</v>
      </c>
      <c r="K276" s="6"/>
    </row>
    <row r="277" spans="1:11" ht="24" x14ac:dyDescent="0.25">
      <c r="A277" s="3">
        <v>90</v>
      </c>
      <c r="B277" s="14" t="s">
        <v>174</v>
      </c>
      <c r="C277" s="15" t="str">
        <f>"O-15-1269"</f>
        <v>O-15-1269</v>
      </c>
      <c r="D277" s="15" t="str">
        <f t="shared" si="8"/>
        <v>HEP-OPSKRBA D.O.O.</v>
      </c>
      <c r="E277" s="16">
        <v>42069</v>
      </c>
      <c r="F277" s="16">
        <v>42460</v>
      </c>
      <c r="G277" s="13">
        <v>52119.03</v>
      </c>
      <c r="H277" s="16">
        <v>42460</v>
      </c>
      <c r="I277" s="13">
        <v>32108.19</v>
      </c>
      <c r="J277" s="13">
        <f t="shared" si="9"/>
        <v>40135.237499999996</v>
      </c>
      <c r="K277" s="6"/>
    </row>
    <row r="278" spans="1:11" x14ac:dyDescent="0.25">
      <c r="A278" s="3">
        <v>91</v>
      </c>
      <c r="B278" s="14" t="s">
        <v>468</v>
      </c>
      <c r="C278" s="15" t="str">
        <f>"O-15-1280"</f>
        <v>O-15-1280</v>
      </c>
      <c r="D278" s="15" t="str">
        <f t="shared" si="8"/>
        <v>HEP-OPSKRBA D.O.O.</v>
      </c>
      <c r="E278" s="16">
        <v>42094</v>
      </c>
      <c r="F278" s="16">
        <v>42460</v>
      </c>
      <c r="G278" s="13">
        <v>228839.98</v>
      </c>
      <c r="H278" s="16">
        <v>42460</v>
      </c>
      <c r="I278" s="13">
        <v>123713.28</v>
      </c>
      <c r="J278" s="13">
        <f t="shared" si="9"/>
        <v>154641.60000000001</v>
      </c>
      <c r="K278" s="6"/>
    </row>
    <row r="279" spans="1:11" ht="36" x14ac:dyDescent="0.25">
      <c r="A279" s="3">
        <v>92</v>
      </c>
      <c r="B279" s="14" t="s">
        <v>306</v>
      </c>
      <c r="C279" s="15" t="str">
        <f>"O-15-1358"</f>
        <v>O-15-1358</v>
      </c>
      <c r="D279" s="15" t="str">
        <f t="shared" si="8"/>
        <v>HEP-OPSKRBA D.O.O.</v>
      </c>
      <c r="E279" s="16">
        <v>42086</v>
      </c>
      <c r="F279" s="16">
        <v>42460</v>
      </c>
      <c r="G279" s="13">
        <v>44406.68</v>
      </c>
      <c r="H279" s="16">
        <v>42460</v>
      </c>
      <c r="I279" s="13">
        <v>44406.68</v>
      </c>
      <c r="J279" s="13">
        <f t="shared" si="9"/>
        <v>55508.35</v>
      </c>
      <c r="K279" s="6"/>
    </row>
    <row r="280" spans="1:11" ht="24" x14ac:dyDescent="0.25">
      <c r="A280" s="3">
        <v>93</v>
      </c>
      <c r="B280" s="14" t="s">
        <v>469</v>
      </c>
      <c r="C280" s="15" t="str">
        <f>"O-15-1371"</f>
        <v>O-15-1371</v>
      </c>
      <c r="D280" s="15" t="str">
        <f t="shared" si="8"/>
        <v>HEP-OPSKRBA D.O.O.</v>
      </c>
      <c r="E280" s="16">
        <v>42094</v>
      </c>
      <c r="F280" s="16">
        <v>42460</v>
      </c>
      <c r="G280" s="13">
        <v>4197.3</v>
      </c>
      <c r="H280" s="16">
        <v>42460</v>
      </c>
      <c r="I280" s="13">
        <v>11495.39</v>
      </c>
      <c r="J280" s="13">
        <f t="shared" si="9"/>
        <v>14369.237499999999</v>
      </c>
      <c r="K280" s="6"/>
    </row>
    <row r="281" spans="1:11" ht="24" x14ac:dyDescent="0.25">
      <c r="A281" s="3">
        <v>94</v>
      </c>
      <c r="B281" s="14" t="s">
        <v>470</v>
      </c>
      <c r="C281" s="15" t="str">
        <f>"O-15-1378"</f>
        <v>O-15-1378</v>
      </c>
      <c r="D281" s="15" t="str">
        <f t="shared" si="8"/>
        <v>HEP-OPSKRBA D.O.O.</v>
      </c>
      <c r="E281" s="16">
        <v>42093</v>
      </c>
      <c r="F281" s="16">
        <v>42460</v>
      </c>
      <c r="G281" s="13">
        <v>57672.5</v>
      </c>
      <c r="H281" s="16">
        <v>42460</v>
      </c>
      <c r="I281" s="13">
        <v>40784.879999999997</v>
      </c>
      <c r="J281" s="13">
        <f t="shared" si="9"/>
        <v>50981.1</v>
      </c>
      <c r="K281" s="6"/>
    </row>
    <row r="282" spans="1:11" ht="24" x14ac:dyDescent="0.25">
      <c r="A282" s="3">
        <v>95</v>
      </c>
      <c r="B282" s="14" t="s">
        <v>471</v>
      </c>
      <c r="C282" s="15" t="str">
        <f>"O-15-1353"</f>
        <v>O-15-1353</v>
      </c>
      <c r="D282" s="15" t="str">
        <f t="shared" si="8"/>
        <v>HEP-OPSKRBA D.O.O.</v>
      </c>
      <c r="E282" s="16">
        <v>42087</v>
      </c>
      <c r="F282" s="16">
        <v>42460</v>
      </c>
      <c r="G282" s="13">
        <v>121550</v>
      </c>
      <c r="H282" s="16">
        <v>42460</v>
      </c>
      <c r="I282" s="13">
        <v>80813</v>
      </c>
      <c r="J282" s="13">
        <f t="shared" si="9"/>
        <v>101016.25</v>
      </c>
      <c r="K282" s="6"/>
    </row>
    <row r="283" spans="1:11" ht="24" x14ac:dyDescent="0.25">
      <c r="A283" s="3">
        <v>96</v>
      </c>
      <c r="B283" s="14" t="s">
        <v>190</v>
      </c>
      <c r="C283" s="15" t="str">
        <f>"O-15-1320"</f>
        <v>O-15-1320</v>
      </c>
      <c r="D283" s="15" t="str">
        <f t="shared" si="8"/>
        <v>HEP-OPSKRBA D.O.O.</v>
      </c>
      <c r="E283" s="16">
        <v>42093</v>
      </c>
      <c r="F283" s="16">
        <v>42460</v>
      </c>
      <c r="G283" s="13">
        <v>83680.800000000003</v>
      </c>
      <c r="H283" s="16">
        <v>42460</v>
      </c>
      <c r="I283" s="13">
        <v>58163.19</v>
      </c>
      <c r="J283" s="13">
        <f t="shared" si="9"/>
        <v>72703.987500000003</v>
      </c>
      <c r="K283" s="6"/>
    </row>
    <row r="284" spans="1:11" ht="24" x14ac:dyDescent="0.25">
      <c r="A284" s="3">
        <v>97</v>
      </c>
      <c r="B284" s="14" t="s">
        <v>472</v>
      </c>
      <c r="C284" s="15" t="str">
        <f>"O-15-1375"</f>
        <v>O-15-1375</v>
      </c>
      <c r="D284" s="15" t="str">
        <f t="shared" si="8"/>
        <v>HEP-OPSKRBA D.O.O.</v>
      </c>
      <c r="E284" s="16">
        <v>42087</v>
      </c>
      <c r="F284" s="16">
        <v>42460</v>
      </c>
      <c r="G284" s="13">
        <v>7634.7</v>
      </c>
      <c r="H284" s="16">
        <v>42460</v>
      </c>
      <c r="I284" s="13">
        <v>8321.8799999999992</v>
      </c>
      <c r="J284" s="13">
        <f t="shared" si="9"/>
        <v>10402.349999999999</v>
      </c>
      <c r="K284" s="6"/>
    </row>
    <row r="285" spans="1:11" ht="24" x14ac:dyDescent="0.25">
      <c r="A285" s="3">
        <v>98</v>
      </c>
      <c r="B285" s="14" t="s">
        <v>473</v>
      </c>
      <c r="C285" s="15" t="str">
        <f>"O-15-1377"</f>
        <v>O-15-1377</v>
      </c>
      <c r="D285" s="15" t="str">
        <f t="shared" si="8"/>
        <v>HEP-OPSKRBA D.O.O.</v>
      </c>
      <c r="E285" s="16">
        <v>42087</v>
      </c>
      <c r="F285" s="16">
        <v>42460</v>
      </c>
      <c r="G285" s="13">
        <v>4539</v>
      </c>
      <c r="H285" s="16">
        <v>42460</v>
      </c>
      <c r="I285" s="13">
        <v>2181.66</v>
      </c>
      <c r="J285" s="13">
        <f t="shared" si="9"/>
        <v>2727.0749999999998</v>
      </c>
      <c r="K285" s="6"/>
    </row>
    <row r="286" spans="1:11" x14ac:dyDescent="0.25">
      <c r="A286" s="3">
        <v>99</v>
      </c>
      <c r="B286" s="14" t="s">
        <v>474</v>
      </c>
      <c r="C286" s="15" t="str">
        <f>"O-15-1354"</f>
        <v>O-15-1354</v>
      </c>
      <c r="D286" s="15" t="str">
        <f t="shared" si="8"/>
        <v>HEP-OPSKRBA D.O.O.</v>
      </c>
      <c r="E286" s="16">
        <v>42094</v>
      </c>
      <c r="F286" s="16">
        <v>42460</v>
      </c>
      <c r="G286" s="13">
        <v>1305.5999999999999</v>
      </c>
      <c r="H286" s="16">
        <v>42460</v>
      </c>
      <c r="I286" s="13">
        <v>3226.3</v>
      </c>
      <c r="J286" s="13">
        <f t="shared" si="9"/>
        <v>4032.875</v>
      </c>
      <c r="K286" s="6"/>
    </row>
    <row r="287" spans="1:11" ht="24" x14ac:dyDescent="0.25">
      <c r="A287" s="3">
        <v>100</v>
      </c>
      <c r="B287" s="14" t="s">
        <v>475</v>
      </c>
      <c r="C287" s="15" t="str">
        <f>"O-15-1090"</f>
        <v>O-15-1090</v>
      </c>
      <c r="D287" s="15" t="str">
        <f t="shared" si="8"/>
        <v>HEP-OPSKRBA D.O.O.</v>
      </c>
      <c r="E287" s="16">
        <v>42090</v>
      </c>
      <c r="F287" s="16">
        <v>42460</v>
      </c>
      <c r="G287" s="13">
        <v>159489.32999999999</v>
      </c>
      <c r="H287" s="16">
        <v>42460</v>
      </c>
      <c r="I287" s="13">
        <v>105829.73</v>
      </c>
      <c r="J287" s="13">
        <f t="shared" si="9"/>
        <v>132287.16250000001</v>
      </c>
      <c r="K287" s="6"/>
    </row>
    <row r="288" spans="1:11" ht="24" x14ac:dyDescent="0.25">
      <c r="A288" s="3">
        <v>101</v>
      </c>
      <c r="B288" s="14" t="s">
        <v>476</v>
      </c>
      <c r="C288" s="15" t="str">
        <f>"O-15-1372"</f>
        <v>O-15-1372</v>
      </c>
      <c r="D288" s="15" t="str">
        <f t="shared" si="8"/>
        <v>HEP-OPSKRBA D.O.O.</v>
      </c>
      <c r="E288" s="16">
        <v>42086</v>
      </c>
      <c r="F288" s="16">
        <v>42460</v>
      </c>
      <c r="G288" s="13">
        <v>9496.2000000000007</v>
      </c>
      <c r="H288" s="16">
        <v>42460</v>
      </c>
      <c r="I288" s="13">
        <v>19245.45</v>
      </c>
      <c r="J288" s="13">
        <f t="shared" si="9"/>
        <v>24056.8125</v>
      </c>
      <c r="K288" s="6"/>
    </row>
    <row r="289" spans="1:11" x14ac:dyDescent="0.25">
      <c r="A289" s="3">
        <v>102</v>
      </c>
      <c r="B289" s="14" t="s">
        <v>477</v>
      </c>
      <c r="C289" s="15" t="str">
        <f>"O-15-1368"</f>
        <v>O-15-1368</v>
      </c>
      <c r="D289" s="15" t="str">
        <f t="shared" si="8"/>
        <v>HEP-OPSKRBA D.O.O.</v>
      </c>
      <c r="E289" s="16">
        <v>42094</v>
      </c>
      <c r="F289" s="16">
        <v>42460</v>
      </c>
      <c r="G289" s="13">
        <v>598663.93000000005</v>
      </c>
      <c r="H289" s="16">
        <v>42460</v>
      </c>
      <c r="I289" s="13">
        <v>520568.91</v>
      </c>
      <c r="J289" s="13">
        <f t="shared" si="9"/>
        <v>650711.13749999995</v>
      </c>
      <c r="K289" s="6"/>
    </row>
    <row r="290" spans="1:11" ht="24" x14ac:dyDescent="0.25">
      <c r="A290" s="3">
        <v>103</v>
      </c>
      <c r="B290" s="14" t="s">
        <v>478</v>
      </c>
      <c r="C290" s="15" t="str">
        <f>"O-15-1337"</f>
        <v>O-15-1337</v>
      </c>
      <c r="D290" s="15" t="str">
        <f t="shared" si="8"/>
        <v>HEP-OPSKRBA D.O.O.</v>
      </c>
      <c r="E290" s="16">
        <v>42082</v>
      </c>
      <c r="F290" s="16">
        <v>42460</v>
      </c>
      <c r="G290" s="13">
        <v>7267.5</v>
      </c>
      <c r="H290" s="16">
        <v>42460</v>
      </c>
      <c r="I290" s="13">
        <v>5005.38</v>
      </c>
      <c r="J290" s="13">
        <f t="shared" si="9"/>
        <v>6256.7250000000004</v>
      </c>
      <c r="K290" s="6"/>
    </row>
    <row r="291" spans="1:11" ht="24" x14ac:dyDescent="0.25">
      <c r="A291" s="3">
        <v>104</v>
      </c>
      <c r="B291" s="14" t="s">
        <v>479</v>
      </c>
      <c r="C291" s="15" t="str">
        <f>"O-15-1077"</f>
        <v>O-15-1077</v>
      </c>
      <c r="D291" s="15" t="str">
        <f t="shared" si="8"/>
        <v>HEP-OPSKRBA D.O.O.</v>
      </c>
      <c r="E291" s="16">
        <v>42073</v>
      </c>
      <c r="F291" s="16">
        <v>42460</v>
      </c>
      <c r="G291" s="13">
        <v>11730</v>
      </c>
      <c r="H291" s="16">
        <v>42460</v>
      </c>
      <c r="I291" s="13">
        <v>13200</v>
      </c>
      <c r="J291" s="13">
        <f t="shared" si="9"/>
        <v>16500</v>
      </c>
      <c r="K291" s="6"/>
    </row>
    <row r="292" spans="1:11" x14ac:dyDescent="0.25">
      <c r="A292" s="3">
        <v>105</v>
      </c>
      <c r="B292" s="14" t="s">
        <v>480</v>
      </c>
      <c r="C292" s="15" t="str">
        <f>"O-15-1330"</f>
        <v>O-15-1330</v>
      </c>
      <c r="D292" s="15" t="str">
        <f t="shared" si="8"/>
        <v>HEP-OPSKRBA D.O.O.</v>
      </c>
      <c r="E292" s="16">
        <v>42081</v>
      </c>
      <c r="F292" s="16">
        <v>42460</v>
      </c>
      <c r="G292" s="13">
        <v>213042.3</v>
      </c>
      <c r="H292" s="16">
        <v>42460</v>
      </c>
      <c r="I292" s="13">
        <v>142489.03</v>
      </c>
      <c r="J292" s="13">
        <f t="shared" si="9"/>
        <v>178111.28750000001</v>
      </c>
      <c r="K292" s="6"/>
    </row>
    <row r="293" spans="1:11" ht="24" x14ac:dyDescent="0.25">
      <c r="A293" s="3">
        <v>106</v>
      </c>
      <c r="B293" s="14" t="s">
        <v>481</v>
      </c>
      <c r="C293" s="15" t="str">
        <f>"O-15-1341"</f>
        <v>O-15-1341</v>
      </c>
      <c r="D293" s="15" t="str">
        <f t="shared" si="8"/>
        <v>HEP-OPSKRBA D.O.O.</v>
      </c>
      <c r="E293" s="16">
        <v>42088</v>
      </c>
      <c r="F293" s="16">
        <v>42460</v>
      </c>
      <c r="G293" s="13">
        <v>9776.7000000000007</v>
      </c>
      <c r="H293" s="16">
        <v>42460</v>
      </c>
      <c r="I293" s="13">
        <v>11055.18</v>
      </c>
      <c r="J293" s="13">
        <f t="shared" si="9"/>
        <v>13818.975</v>
      </c>
      <c r="K293" s="6"/>
    </row>
    <row r="294" spans="1:11" ht="24" x14ac:dyDescent="0.25">
      <c r="A294" s="3">
        <v>107</v>
      </c>
      <c r="B294" s="14" t="s">
        <v>482</v>
      </c>
      <c r="C294" s="15" t="str">
        <f>"O-15-1363"</f>
        <v>O-15-1363</v>
      </c>
      <c r="D294" s="15" t="str">
        <f t="shared" si="8"/>
        <v>HEP-OPSKRBA D.O.O.</v>
      </c>
      <c r="E294" s="16">
        <v>42083</v>
      </c>
      <c r="F294" s="16">
        <v>42460</v>
      </c>
      <c r="G294" s="13">
        <v>74970</v>
      </c>
      <c r="H294" s="16">
        <v>42460</v>
      </c>
      <c r="I294" s="13">
        <v>48758.12</v>
      </c>
      <c r="J294" s="13">
        <f t="shared" si="9"/>
        <v>60947.65</v>
      </c>
      <c r="K294" s="6"/>
    </row>
    <row r="295" spans="1:11" ht="24" x14ac:dyDescent="0.25">
      <c r="A295" s="3">
        <v>108</v>
      </c>
      <c r="B295" s="14" t="s">
        <v>483</v>
      </c>
      <c r="C295" s="15" t="str">
        <f>"O-15-1335"</f>
        <v>O-15-1335</v>
      </c>
      <c r="D295" s="15" t="str">
        <f t="shared" si="8"/>
        <v>HEP-OPSKRBA D.O.O.</v>
      </c>
      <c r="E295" s="16">
        <v>42093</v>
      </c>
      <c r="F295" s="16">
        <v>42460</v>
      </c>
      <c r="G295" s="13">
        <v>4064.7</v>
      </c>
      <c r="H295" s="16">
        <v>42460</v>
      </c>
      <c r="I295" s="13">
        <v>3934.18</v>
      </c>
      <c r="J295" s="13">
        <f t="shared" si="9"/>
        <v>4917.7249999999995</v>
      </c>
      <c r="K295" s="6"/>
    </row>
    <row r="296" spans="1:11" ht="24" x14ac:dyDescent="0.25">
      <c r="A296" s="3">
        <v>109</v>
      </c>
      <c r="B296" s="14" t="s">
        <v>173</v>
      </c>
      <c r="C296" s="15" t="str">
        <f>"O-15-1283"</f>
        <v>O-15-1283</v>
      </c>
      <c r="D296" s="15" t="str">
        <f t="shared" si="8"/>
        <v>HEP-OPSKRBA D.O.O.</v>
      </c>
      <c r="E296" s="16">
        <v>42080</v>
      </c>
      <c r="F296" s="16">
        <v>42460</v>
      </c>
      <c r="G296" s="13">
        <v>66725</v>
      </c>
      <c r="H296" s="16">
        <v>42460</v>
      </c>
      <c r="I296" s="40">
        <v>0</v>
      </c>
      <c r="J296" s="40">
        <f t="shared" si="9"/>
        <v>0</v>
      </c>
      <c r="K296" s="6"/>
    </row>
    <row r="297" spans="1:11" ht="24" x14ac:dyDescent="0.25">
      <c r="A297" s="3">
        <v>110</v>
      </c>
      <c r="B297" s="14" t="s">
        <v>484</v>
      </c>
      <c r="C297" s="15" t="str">
        <f>"O-15-1331"</f>
        <v>O-15-1331</v>
      </c>
      <c r="D297" s="15" t="str">
        <f t="shared" si="8"/>
        <v>HEP-OPSKRBA D.O.O.</v>
      </c>
      <c r="E297" s="16">
        <v>42081</v>
      </c>
      <c r="F297" s="16">
        <v>42460</v>
      </c>
      <c r="G297" s="13">
        <v>17671.93</v>
      </c>
      <c r="H297" s="16">
        <v>42460</v>
      </c>
      <c r="I297" s="40">
        <v>0</v>
      </c>
      <c r="J297" s="40">
        <f t="shared" si="9"/>
        <v>0</v>
      </c>
      <c r="K297" s="6"/>
    </row>
    <row r="298" spans="1:11" ht="24" x14ac:dyDescent="0.25">
      <c r="A298" s="3">
        <v>111</v>
      </c>
      <c r="B298" s="14" t="s">
        <v>485</v>
      </c>
      <c r="C298" s="15" t="str">
        <f>"O-15-1321"</f>
        <v>O-15-1321</v>
      </c>
      <c r="D298" s="15" t="str">
        <f t="shared" si="8"/>
        <v>HEP-OPSKRBA D.O.O.</v>
      </c>
      <c r="E298" s="16">
        <v>42093</v>
      </c>
      <c r="F298" s="16">
        <v>42460</v>
      </c>
      <c r="G298" s="13">
        <v>83563.5</v>
      </c>
      <c r="H298" s="16">
        <v>42460</v>
      </c>
      <c r="I298" s="13">
        <v>25877.41</v>
      </c>
      <c r="J298" s="13">
        <f t="shared" si="9"/>
        <v>32346.762500000001</v>
      </c>
      <c r="K298" s="6"/>
    </row>
    <row r="299" spans="1:11" ht="24" x14ac:dyDescent="0.25">
      <c r="A299" s="3">
        <v>112</v>
      </c>
      <c r="B299" s="14" t="s">
        <v>486</v>
      </c>
      <c r="C299" s="15" t="str">
        <f>"O-15-880"</f>
        <v>O-15-880</v>
      </c>
      <c r="D299" s="15" t="str">
        <f t="shared" si="8"/>
        <v>HEP-OPSKRBA D.O.O.</v>
      </c>
      <c r="E299" s="16">
        <v>42093</v>
      </c>
      <c r="F299" s="16">
        <v>42460</v>
      </c>
      <c r="G299" s="13">
        <v>64902.6</v>
      </c>
      <c r="H299" s="16">
        <v>42460</v>
      </c>
      <c r="I299" s="13">
        <v>60057</v>
      </c>
      <c r="J299" s="13">
        <f t="shared" si="9"/>
        <v>75071.25</v>
      </c>
      <c r="K299" s="6"/>
    </row>
    <row r="300" spans="1:11" ht="24" x14ac:dyDescent="0.25">
      <c r="A300" s="3">
        <v>113</v>
      </c>
      <c r="B300" s="14" t="s">
        <v>172</v>
      </c>
      <c r="C300" s="15" t="str">
        <f>"O-15-1387"</f>
        <v>O-15-1387</v>
      </c>
      <c r="D300" s="15" t="str">
        <f t="shared" si="8"/>
        <v>HEP-OPSKRBA D.O.O.</v>
      </c>
      <c r="E300" s="16">
        <v>42090</v>
      </c>
      <c r="F300" s="16">
        <v>42460</v>
      </c>
      <c r="G300" s="13">
        <v>2470985.7000000002</v>
      </c>
      <c r="H300" s="16">
        <v>42460</v>
      </c>
      <c r="I300" s="13">
        <v>1649567.7</v>
      </c>
      <c r="J300" s="13">
        <f t="shared" si="9"/>
        <v>2061959.625</v>
      </c>
      <c r="K300" s="6"/>
    </row>
    <row r="301" spans="1:11" ht="24" x14ac:dyDescent="0.25">
      <c r="A301" s="3">
        <v>114</v>
      </c>
      <c r="B301" s="14" t="s">
        <v>487</v>
      </c>
      <c r="C301" s="15" t="str">
        <f>"O-15-1374"</f>
        <v>O-15-1374</v>
      </c>
      <c r="D301" s="15" t="str">
        <f t="shared" si="8"/>
        <v>HEP-OPSKRBA D.O.O.</v>
      </c>
      <c r="E301" s="16">
        <v>42086</v>
      </c>
      <c r="F301" s="16">
        <v>42460</v>
      </c>
      <c r="G301" s="13">
        <v>9215.7000000000007</v>
      </c>
      <c r="H301" s="16">
        <v>42460</v>
      </c>
      <c r="I301" s="13">
        <v>10362.74</v>
      </c>
      <c r="J301" s="13">
        <f t="shared" si="9"/>
        <v>12953.424999999999</v>
      </c>
      <c r="K301" s="6"/>
    </row>
    <row r="302" spans="1:11" x14ac:dyDescent="0.25">
      <c r="A302" s="3">
        <v>115</v>
      </c>
      <c r="B302" s="14" t="s">
        <v>488</v>
      </c>
      <c r="C302" s="15" t="str">
        <f>"O-15-1300"</f>
        <v>O-15-1300</v>
      </c>
      <c r="D302" s="15" t="str">
        <f t="shared" si="8"/>
        <v>HEP-OPSKRBA D.O.O.</v>
      </c>
      <c r="E302" s="16">
        <v>42094</v>
      </c>
      <c r="F302" s="16">
        <v>42460</v>
      </c>
      <c r="G302" s="13">
        <v>96471.6</v>
      </c>
      <c r="H302" s="16">
        <v>42460</v>
      </c>
      <c r="I302" s="13">
        <v>92200</v>
      </c>
      <c r="J302" s="13">
        <f t="shared" si="9"/>
        <v>115250</v>
      </c>
      <c r="K302" s="6"/>
    </row>
    <row r="303" spans="1:11" ht="24" x14ac:dyDescent="0.25">
      <c r="A303" s="3">
        <v>116</v>
      </c>
      <c r="B303" s="14" t="s">
        <v>489</v>
      </c>
      <c r="C303" s="15" t="str">
        <f>"O-15-1383"</f>
        <v>O-15-1383</v>
      </c>
      <c r="D303" s="15" t="str">
        <f t="shared" si="8"/>
        <v>HEP-OPSKRBA D.O.O.</v>
      </c>
      <c r="E303" s="16">
        <v>42088</v>
      </c>
      <c r="F303" s="16">
        <v>42460</v>
      </c>
      <c r="G303" s="13">
        <v>186981.3</v>
      </c>
      <c r="H303" s="16">
        <v>42460</v>
      </c>
      <c r="I303" s="13">
        <v>81855.88</v>
      </c>
      <c r="J303" s="13">
        <f t="shared" si="9"/>
        <v>102319.85</v>
      </c>
      <c r="K303" s="6"/>
    </row>
    <row r="304" spans="1:11" x14ac:dyDescent="0.25">
      <c r="A304" s="3">
        <v>117</v>
      </c>
      <c r="B304" s="14" t="s">
        <v>262</v>
      </c>
      <c r="C304" s="15" t="str">
        <f>"O-15-1256"</f>
        <v>O-15-1256</v>
      </c>
      <c r="D304" s="15" t="str">
        <f t="shared" si="8"/>
        <v>HEP-OPSKRBA D.O.O.</v>
      </c>
      <c r="E304" s="16">
        <v>42069</v>
      </c>
      <c r="F304" s="16">
        <v>42460</v>
      </c>
      <c r="G304" s="13">
        <v>1173</v>
      </c>
      <c r="H304" s="16">
        <v>42460</v>
      </c>
      <c r="I304" s="13">
        <v>1130.52</v>
      </c>
      <c r="J304" s="13">
        <f t="shared" si="9"/>
        <v>1413.15</v>
      </c>
      <c r="K304" s="6"/>
    </row>
    <row r="305" spans="1:11" ht="24" x14ac:dyDescent="0.25">
      <c r="A305" s="3">
        <v>118</v>
      </c>
      <c r="B305" s="14" t="s">
        <v>490</v>
      </c>
      <c r="C305" s="15" t="str">
        <f>"O-15-1124"</f>
        <v>O-15-1124</v>
      </c>
      <c r="D305" s="15" t="str">
        <f t="shared" si="8"/>
        <v>HEP-OPSKRBA D.O.O.</v>
      </c>
      <c r="E305" s="16">
        <v>42059</v>
      </c>
      <c r="F305" s="16">
        <v>42460</v>
      </c>
      <c r="G305" s="13">
        <v>44645.83</v>
      </c>
      <c r="H305" s="16">
        <v>42460</v>
      </c>
      <c r="I305" s="13">
        <v>29880</v>
      </c>
      <c r="J305" s="13">
        <f t="shared" si="9"/>
        <v>37350</v>
      </c>
      <c r="K305" s="6"/>
    </row>
    <row r="306" spans="1:11" ht="24" x14ac:dyDescent="0.25">
      <c r="A306" s="3">
        <v>119</v>
      </c>
      <c r="B306" s="14" t="s">
        <v>165</v>
      </c>
      <c r="C306" s="15" t="str">
        <f>"0-15-1382 I 0-15-1382/1"</f>
        <v>0-15-1382 I 0-15-1382/1</v>
      </c>
      <c r="D306" s="15" t="str">
        <f t="shared" si="8"/>
        <v>HEP-OPSKRBA D.O.O.</v>
      </c>
      <c r="E306" s="16">
        <v>42089</v>
      </c>
      <c r="F306" s="16">
        <v>42460</v>
      </c>
      <c r="G306" s="13">
        <v>0</v>
      </c>
      <c r="H306" s="16">
        <v>42460</v>
      </c>
      <c r="I306" s="13">
        <v>35155.75</v>
      </c>
      <c r="J306" s="13">
        <f t="shared" si="9"/>
        <v>43944.6875</v>
      </c>
      <c r="K306" s="6"/>
    </row>
    <row r="307" spans="1:11" ht="36" x14ac:dyDescent="0.25">
      <c r="A307" s="3">
        <v>120</v>
      </c>
      <c r="B307" s="14" t="s">
        <v>491</v>
      </c>
      <c r="C307" s="15" t="str">
        <f>"O-15-1395"</f>
        <v>O-15-1395</v>
      </c>
      <c r="D307" s="15" t="str">
        <f t="shared" si="8"/>
        <v>HEP-OPSKRBA D.O.O.</v>
      </c>
      <c r="E307" s="16">
        <v>42089</v>
      </c>
      <c r="F307" s="16">
        <v>42455</v>
      </c>
      <c r="G307" s="13">
        <v>90996.73</v>
      </c>
      <c r="H307" s="16">
        <v>42455</v>
      </c>
      <c r="I307" s="13">
        <v>90996.73</v>
      </c>
      <c r="J307" s="13">
        <f t="shared" si="9"/>
        <v>113745.91249999999</v>
      </c>
      <c r="K307" s="6"/>
    </row>
    <row r="308" spans="1:11" ht="24" x14ac:dyDescent="0.25">
      <c r="A308" s="3">
        <v>121</v>
      </c>
      <c r="B308" s="14" t="s">
        <v>492</v>
      </c>
      <c r="C308" s="15" t="str">
        <f>"O-15-1018"</f>
        <v>O-15-1018</v>
      </c>
      <c r="D308" s="15" t="str">
        <f t="shared" si="8"/>
        <v>HEP-OPSKRBA D.O.O.</v>
      </c>
      <c r="E308" s="16">
        <v>42046</v>
      </c>
      <c r="F308" s="16">
        <v>42429</v>
      </c>
      <c r="G308" s="13">
        <v>178311.3</v>
      </c>
      <c r="H308" s="16">
        <v>42429</v>
      </c>
      <c r="I308" s="13">
        <v>139811.57999999999</v>
      </c>
      <c r="J308" s="13">
        <f t="shared" si="9"/>
        <v>174764.47499999998</v>
      </c>
      <c r="K308" s="6"/>
    </row>
    <row r="309" spans="1:11" ht="24" x14ac:dyDescent="0.25">
      <c r="A309" s="3">
        <v>122</v>
      </c>
      <c r="B309" s="14" t="s">
        <v>209</v>
      </c>
      <c r="C309" s="15" t="str">
        <f>"O-15-1044"</f>
        <v>O-15-1044</v>
      </c>
      <c r="D309" s="15" t="str">
        <f t="shared" si="8"/>
        <v>HEP-OPSKRBA D.O.O.</v>
      </c>
      <c r="E309" s="16">
        <v>42060</v>
      </c>
      <c r="F309" s="16">
        <v>42429</v>
      </c>
      <c r="G309" s="13">
        <v>20825</v>
      </c>
      <c r="H309" s="16">
        <v>42429</v>
      </c>
      <c r="I309" s="13">
        <v>17615.419999999998</v>
      </c>
      <c r="J309" s="13">
        <f t="shared" si="9"/>
        <v>22019.274999999998</v>
      </c>
      <c r="K309" s="6"/>
    </row>
    <row r="310" spans="1:11" ht="24" x14ac:dyDescent="0.25">
      <c r="A310" s="3">
        <v>123</v>
      </c>
      <c r="B310" s="14" t="s">
        <v>493</v>
      </c>
      <c r="C310" s="15" t="str">
        <f>"O-15-883"</f>
        <v>O-15-883</v>
      </c>
      <c r="D310" s="15" t="str">
        <f t="shared" si="8"/>
        <v>HEP-OPSKRBA D.O.O.</v>
      </c>
      <c r="E310" s="16">
        <v>42030</v>
      </c>
      <c r="F310" s="16">
        <v>42429</v>
      </c>
      <c r="G310" s="13">
        <v>127653</v>
      </c>
      <c r="H310" s="16">
        <v>42429</v>
      </c>
      <c r="I310" s="13">
        <v>121239.66</v>
      </c>
      <c r="J310" s="13">
        <f t="shared" si="9"/>
        <v>151549.57500000001</v>
      </c>
      <c r="K310" s="6"/>
    </row>
    <row r="311" spans="1:11" ht="24" x14ac:dyDescent="0.25">
      <c r="A311" s="3">
        <v>124</v>
      </c>
      <c r="B311" s="14" t="s">
        <v>231</v>
      </c>
      <c r="C311" s="15" t="str">
        <f>"O-15-1134"</f>
        <v>O-15-1134</v>
      </c>
      <c r="D311" s="15" t="str">
        <f t="shared" si="8"/>
        <v>HEP-OPSKRBA D.O.O.</v>
      </c>
      <c r="E311" s="16">
        <v>42058</v>
      </c>
      <c r="F311" s="16">
        <v>42429</v>
      </c>
      <c r="G311" s="13">
        <v>3060</v>
      </c>
      <c r="H311" s="16">
        <v>42429</v>
      </c>
      <c r="I311" s="13">
        <v>6873</v>
      </c>
      <c r="J311" s="13">
        <f t="shared" si="9"/>
        <v>8591.25</v>
      </c>
      <c r="K311" s="6"/>
    </row>
    <row r="312" spans="1:11" ht="36" x14ac:dyDescent="0.25">
      <c r="A312" s="3">
        <v>125</v>
      </c>
      <c r="B312" s="14" t="s">
        <v>494</v>
      </c>
      <c r="C312" s="15" t="str">
        <f>"O-15-1075"</f>
        <v>O-15-1075</v>
      </c>
      <c r="D312" s="15" t="str">
        <f t="shared" si="8"/>
        <v>HEP-OPSKRBA D.O.O.</v>
      </c>
      <c r="E312" s="16">
        <v>42052</v>
      </c>
      <c r="F312" s="16">
        <v>42429</v>
      </c>
      <c r="G312" s="13">
        <v>50320</v>
      </c>
      <c r="H312" s="16">
        <v>42429</v>
      </c>
      <c r="I312" s="13">
        <v>38464</v>
      </c>
      <c r="J312" s="13">
        <f t="shared" si="9"/>
        <v>48080</v>
      </c>
      <c r="K312" s="6"/>
    </row>
    <row r="313" spans="1:11" ht="24" x14ac:dyDescent="0.25">
      <c r="A313" s="3">
        <v>126</v>
      </c>
      <c r="B313" s="14" t="s">
        <v>495</v>
      </c>
      <c r="C313" s="15" t="str">
        <f>"O-15-917"</f>
        <v>O-15-917</v>
      </c>
      <c r="D313" s="15" t="str">
        <f t="shared" ref="D313:D341" si="10">CONCATENATE("HEP-OPSKRBA D.O.O.")</f>
        <v>HEP-OPSKRBA D.O.O.</v>
      </c>
      <c r="E313" s="16">
        <v>42031</v>
      </c>
      <c r="F313" s="16">
        <v>42429</v>
      </c>
      <c r="G313" s="13">
        <v>5110.2</v>
      </c>
      <c r="H313" s="16">
        <v>42429</v>
      </c>
      <c r="I313" s="13">
        <v>6918.77</v>
      </c>
      <c r="J313" s="13">
        <f t="shared" si="9"/>
        <v>8648.4625000000015</v>
      </c>
      <c r="K313" s="6"/>
    </row>
    <row r="314" spans="1:11" ht="24" x14ac:dyDescent="0.25">
      <c r="A314" s="3">
        <v>127</v>
      </c>
      <c r="B314" s="14" t="s">
        <v>496</v>
      </c>
      <c r="C314" s="15" t="str">
        <f>"O-15-1112"</f>
        <v>O-15-1112</v>
      </c>
      <c r="D314" s="15" t="str">
        <f t="shared" si="10"/>
        <v>HEP-OPSKRBA D.O.O.</v>
      </c>
      <c r="E314" s="16">
        <v>42061</v>
      </c>
      <c r="F314" s="16">
        <v>42429</v>
      </c>
      <c r="G314" s="13">
        <v>12648</v>
      </c>
      <c r="H314" s="16">
        <v>42429</v>
      </c>
      <c r="I314" s="13">
        <v>41580.51</v>
      </c>
      <c r="J314" s="13">
        <f t="shared" ref="J314:J372" si="11">I314*1.25</f>
        <v>51975.637500000004</v>
      </c>
      <c r="K314" s="6"/>
    </row>
    <row r="315" spans="1:11" ht="24" x14ac:dyDescent="0.25">
      <c r="A315" s="3">
        <v>128</v>
      </c>
      <c r="B315" s="14" t="s">
        <v>147</v>
      </c>
      <c r="C315" s="15" t="str">
        <f>"O-15-1121"</f>
        <v>O-15-1121</v>
      </c>
      <c r="D315" s="15" t="str">
        <f t="shared" si="10"/>
        <v>HEP-OPSKRBA D.O.O.</v>
      </c>
      <c r="E315" s="16">
        <v>42061</v>
      </c>
      <c r="F315" s="16">
        <v>42429</v>
      </c>
      <c r="G315" s="13">
        <v>88615.48</v>
      </c>
      <c r="H315" s="16">
        <v>42429</v>
      </c>
      <c r="I315" s="13">
        <v>87108.98</v>
      </c>
      <c r="J315" s="13">
        <f t="shared" si="11"/>
        <v>108886.22499999999</v>
      </c>
      <c r="K315" s="6"/>
    </row>
    <row r="316" spans="1:11" ht="24" x14ac:dyDescent="0.25">
      <c r="A316" s="3">
        <v>129</v>
      </c>
      <c r="B316" s="14" t="s">
        <v>497</v>
      </c>
      <c r="C316" s="15" t="str">
        <f>"O-15-1104"</f>
        <v>O-15-1104</v>
      </c>
      <c r="D316" s="15" t="str">
        <f t="shared" si="10"/>
        <v>HEP-OPSKRBA D.O.O.</v>
      </c>
      <c r="E316" s="16">
        <v>42058</v>
      </c>
      <c r="F316" s="16">
        <v>42429</v>
      </c>
      <c r="G316" s="13">
        <v>3315</v>
      </c>
      <c r="H316" s="16">
        <v>42429</v>
      </c>
      <c r="I316" s="13">
        <v>3111.27</v>
      </c>
      <c r="J316" s="13">
        <f t="shared" si="11"/>
        <v>3889.0875000000001</v>
      </c>
      <c r="K316" s="6"/>
    </row>
    <row r="317" spans="1:11" ht="24" x14ac:dyDescent="0.25">
      <c r="A317" s="3">
        <v>130</v>
      </c>
      <c r="B317" s="14" t="s">
        <v>498</v>
      </c>
      <c r="C317" s="15" t="str">
        <f>"O-15-1151"</f>
        <v>O-15-1151</v>
      </c>
      <c r="D317" s="15" t="str">
        <f t="shared" si="10"/>
        <v>HEP-OPSKRBA D.O.O.</v>
      </c>
      <c r="E317" s="16">
        <v>42058</v>
      </c>
      <c r="F317" s="16">
        <v>42429</v>
      </c>
      <c r="G317" s="13">
        <v>6324.85</v>
      </c>
      <c r="H317" s="16">
        <v>42429</v>
      </c>
      <c r="I317" s="13">
        <v>3836</v>
      </c>
      <c r="J317" s="13">
        <f t="shared" si="11"/>
        <v>4795</v>
      </c>
      <c r="K317" s="6"/>
    </row>
    <row r="318" spans="1:11" ht="24" x14ac:dyDescent="0.25">
      <c r="A318" s="3">
        <v>131</v>
      </c>
      <c r="B318" s="14" t="s">
        <v>373</v>
      </c>
      <c r="C318" s="15" t="str">
        <f>"O-15-985"</f>
        <v>O-15-985</v>
      </c>
      <c r="D318" s="15" t="str">
        <f t="shared" si="10"/>
        <v>HEP-OPSKRBA D.O.O.</v>
      </c>
      <c r="E318" s="16">
        <v>42062</v>
      </c>
      <c r="F318" s="16">
        <v>42429</v>
      </c>
      <c r="G318" s="13">
        <v>200006.7</v>
      </c>
      <c r="H318" s="16">
        <v>42429</v>
      </c>
      <c r="I318" s="13">
        <v>19246.669999999998</v>
      </c>
      <c r="J318" s="13">
        <f t="shared" si="11"/>
        <v>24058.337499999998</v>
      </c>
      <c r="K318" s="6"/>
    </row>
    <row r="319" spans="1:11" x14ac:dyDescent="0.25">
      <c r="A319" s="3">
        <v>132</v>
      </c>
      <c r="B319" s="14" t="s">
        <v>499</v>
      </c>
      <c r="C319" s="15" t="str">
        <f>"O-15-1150"</f>
        <v>O-15-1150</v>
      </c>
      <c r="D319" s="15" t="str">
        <f t="shared" si="10"/>
        <v>HEP-OPSKRBA D.O.O.</v>
      </c>
      <c r="E319" s="16">
        <v>42061</v>
      </c>
      <c r="F319" s="16">
        <v>42429</v>
      </c>
      <c r="G319" s="13">
        <v>5564.95</v>
      </c>
      <c r="H319" s="16">
        <v>42429</v>
      </c>
      <c r="I319" s="13">
        <v>3953.78</v>
      </c>
      <c r="J319" s="13">
        <f t="shared" si="11"/>
        <v>4942.2250000000004</v>
      </c>
      <c r="K319" s="6"/>
    </row>
    <row r="320" spans="1:11" ht="24" x14ac:dyDescent="0.25">
      <c r="A320" s="3">
        <v>133</v>
      </c>
      <c r="B320" s="14" t="s">
        <v>500</v>
      </c>
      <c r="C320" s="15" t="str">
        <f>"O-15-1119"</f>
        <v>O-15-1119</v>
      </c>
      <c r="D320" s="15" t="str">
        <f t="shared" si="10"/>
        <v>HEP-OPSKRBA D.O.O.</v>
      </c>
      <c r="E320" s="16">
        <v>42058</v>
      </c>
      <c r="F320" s="16">
        <v>42429</v>
      </c>
      <c r="G320" s="13">
        <v>5206.25</v>
      </c>
      <c r="H320" s="16">
        <v>42429</v>
      </c>
      <c r="I320" s="13">
        <v>4538.22</v>
      </c>
      <c r="J320" s="13">
        <f t="shared" si="11"/>
        <v>5672.7750000000005</v>
      </c>
      <c r="K320" s="6"/>
    </row>
    <row r="321" spans="1:11" x14ac:dyDescent="0.25">
      <c r="A321" s="3">
        <v>134</v>
      </c>
      <c r="B321" s="14" t="s">
        <v>501</v>
      </c>
      <c r="C321" s="15" t="str">
        <f>"O-15-1159"</f>
        <v>O-15-1159</v>
      </c>
      <c r="D321" s="15" t="str">
        <f t="shared" si="10"/>
        <v>HEP-OPSKRBA D.O.O.</v>
      </c>
      <c r="E321" s="16">
        <v>42061</v>
      </c>
      <c r="F321" s="16">
        <v>42429</v>
      </c>
      <c r="G321" s="13">
        <v>5335.03</v>
      </c>
      <c r="H321" s="16">
        <v>42429</v>
      </c>
      <c r="I321" s="13">
        <v>43215</v>
      </c>
      <c r="J321" s="13">
        <f t="shared" si="11"/>
        <v>54018.75</v>
      </c>
      <c r="K321" s="6"/>
    </row>
    <row r="322" spans="1:11" ht="24" x14ac:dyDescent="0.25">
      <c r="A322" s="3">
        <v>135</v>
      </c>
      <c r="B322" s="14" t="s">
        <v>502</v>
      </c>
      <c r="C322" s="15" t="str">
        <f>"O-15-1111"</f>
        <v>O-15-1111</v>
      </c>
      <c r="D322" s="15" t="str">
        <f t="shared" si="10"/>
        <v>HEP-OPSKRBA D.O.O.</v>
      </c>
      <c r="E322" s="16">
        <v>42059</v>
      </c>
      <c r="F322" s="16">
        <v>42429</v>
      </c>
      <c r="G322" s="13">
        <v>27084.83</v>
      </c>
      <c r="H322" s="16">
        <v>42429</v>
      </c>
      <c r="I322" s="13">
        <v>50393</v>
      </c>
      <c r="J322" s="13">
        <f t="shared" si="11"/>
        <v>62991.25</v>
      </c>
      <c r="K322" s="6"/>
    </row>
    <row r="323" spans="1:11" ht="24" x14ac:dyDescent="0.25">
      <c r="A323" s="3">
        <v>136</v>
      </c>
      <c r="B323" s="14" t="s">
        <v>131</v>
      </c>
      <c r="C323" s="15" t="str">
        <f>"O-15-907"</f>
        <v>O-15-907</v>
      </c>
      <c r="D323" s="15" t="str">
        <f t="shared" si="10"/>
        <v>HEP-OPSKRBA D.O.O.</v>
      </c>
      <c r="E323" s="16">
        <v>42053</v>
      </c>
      <c r="F323" s="16">
        <v>42429</v>
      </c>
      <c r="G323" s="13">
        <v>5185</v>
      </c>
      <c r="H323" s="16">
        <v>42429</v>
      </c>
      <c r="I323" s="13">
        <v>3436.84</v>
      </c>
      <c r="J323" s="13">
        <f t="shared" si="11"/>
        <v>4296.05</v>
      </c>
      <c r="K323" s="6"/>
    </row>
    <row r="324" spans="1:11" ht="36" x14ac:dyDescent="0.25">
      <c r="A324" s="3">
        <v>137</v>
      </c>
      <c r="B324" s="14" t="s">
        <v>130</v>
      </c>
      <c r="C324" s="15" t="str">
        <f>"O-15-759"</f>
        <v>O-15-759</v>
      </c>
      <c r="D324" s="15" t="str">
        <f t="shared" si="10"/>
        <v>HEP-OPSKRBA D.O.O.</v>
      </c>
      <c r="E324" s="16">
        <v>42061</v>
      </c>
      <c r="F324" s="16">
        <v>42429</v>
      </c>
      <c r="G324" s="13">
        <v>167488.68</v>
      </c>
      <c r="H324" s="16">
        <v>42429</v>
      </c>
      <c r="I324" s="13">
        <v>137832</v>
      </c>
      <c r="J324" s="13">
        <f t="shared" si="11"/>
        <v>172290</v>
      </c>
      <c r="K324" s="6"/>
    </row>
    <row r="325" spans="1:11" ht="24" x14ac:dyDescent="0.25">
      <c r="A325" s="3">
        <v>138</v>
      </c>
      <c r="B325" s="14" t="s">
        <v>503</v>
      </c>
      <c r="C325" s="15" t="str">
        <f>"O-15-889"</f>
        <v>O-15-889</v>
      </c>
      <c r="D325" s="15" t="str">
        <f t="shared" si="10"/>
        <v>HEP-OPSKRBA D.O.O.</v>
      </c>
      <c r="E325" s="16">
        <v>42033</v>
      </c>
      <c r="F325" s="16">
        <v>42429</v>
      </c>
      <c r="G325" s="13">
        <v>11705.35</v>
      </c>
      <c r="H325" s="16">
        <v>42429</v>
      </c>
      <c r="I325" s="13">
        <v>7768.36</v>
      </c>
      <c r="J325" s="13">
        <f t="shared" si="11"/>
        <v>9710.4499999999989</v>
      </c>
      <c r="K325" s="6"/>
    </row>
    <row r="326" spans="1:11" ht="36" x14ac:dyDescent="0.25">
      <c r="A326" s="3">
        <v>139</v>
      </c>
      <c r="B326" s="14" t="s">
        <v>504</v>
      </c>
      <c r="C326" s="15" t="str">
        <f>"O-15-1161"</f>
        <v>O-15-1161</v>
      </c>
      <c r="D326" s="15" t="str">
        <f t="shared" si="10"/>
        <v>HEP-OPSKRBA D.O.O.</v>
      </c>
      <c r="E326" s="16">
        <v>42062</v>
      </c>
      <c r="F326" s="16">
        <v>42429</v>
      </c>
      <c r="G326" s="13">
        <v>5047.3</v>
      </c>
      <c r="H326" s="16">
        <v>42429</v>
      </c>
      <c r="I326" s="40">
        <v>0</v>
      </c>
      <c r="J326" s="40">
        <f t="shared" si="11"/>
        <v>0</v>
      </c>
      <c r="K326" s="6"/>
    </row>
    <row r="327" spans="1:11" ht="24" x14ac:dyDescent="0.25">
      <c r="A327" s="3">
        <v>140</v>
      </c>
      <c r="B327" s="14" t="s">
        <v>505</v>
      </c>
      <c r="C327" s="15" t="str">
        <f>"O-15-1234"</f>
        <v>O-15-1234</v>
      </c>
      <c r="D327" s="15" t="str">
        <f t="shared" si="10"/>
        <v>HEP-OPSKRBA D.O.O.</v>
      </c>
      <c r="E327" s="16">
        <v>42062</v>
      </c>
      <c r="F327" s="16">
        <v>42429</v>
      </c>
      <c r="G327" s="13">
        <v>8889.2999999999993</v>
      </c>
      <c r="H327" s="16">
        <v>42429</v>
      </c>
      <c r="I327" s="13">
        <v>6963.09</v>
      </c>
      <c r="J327" s="13">
        <f t="shared" si="11"/>
        <v>8703.8624999999993</v>
      </c>
      <c r="K327" s="6"/>
    </row>
    <row r="328" spans="1:11" ht="24" x14ac:dyDescent="0.25">
      <c r="A328" s="3">
        <v>141</v>
      </c>
      <c r="B328" s="14" t="s">
        <v>506</v>
      </c>
      <c r="C328" s="15" t="str">
        <f>"O-15-911"</f>
        <v>O-15-911</v>
      </c>
      <c r="D328" s="15" t="str">
        <f t="shared" si="10"/>
        <v>HEP-OPSKRBA D.O.O.</v>
      </c>
      <c r="E328" s="16">
        <v>42030</v>
      </c>
      <c r="F328" s="16">
        <v>42429</v>
      </c>
      <c r="G328" s="13">
        <v>8007</v>
      </c>
      <c r="H328" s="16">
        <v>42429</v>
      </c>
      <c r="I328" s="13">
        <v>5174.8999999999996</v>
      </c>
      <c r="J328" s="13">
        <f t="shared" si="11"/>
        <v>6468.625</v>
      </c>
      <c r="K328" s="6"/>
    </row>
    <row r="329" spans="1:11" ht="24" x14ac:dyDescent="0.25">
      <c r="A329" s="3">
        <v>142</v>
      </c>
      <c r="B329" s="14" t="s">
        <v>507</v>
      </c>
      <c r="C329" s="15" t="str">
        <f>"O-15-1078"</f>
        <v>O-15-1078</v>
      </c>
      <c r="D329" s="15" t="str">
        <f t="shared" si="10"/>
        <v>HEP-OPSKRBA D.O.O.</v>
      </c>
      <c r="E329" s="16">
        <v>42051</v>
      </c>
      <c r="F329" s="16">
        <v>42429</v>
      </c>
      <c r="G329" s="13">
        <v>2589.1</v>
      </c>
      <c r="H329" s="16">
        <v>42429</v>
      </c>
      <c r="I329" s="13">
        <v>5539</v>
      </c>
      <c r="J329" s="13">
        <f t="shared" si="11"/>
        <v>6923.75</v>
      </c>
      <c r="K329" s="6"/>
    </row>
    <row r="330" spans="1:11" ht="24" x14ac:dyDescent="0.25">
      <c r="A330" s="3">
        <v>143</v>
      </c>
      <c r="B330" s="14" t="s">
        <v>508</v>
      </c>
      <c r="C330" s="15" t="str">
        <f>"O-15-970"</f>
        <v>O-15-970</v>
      </c>
      <c r="D330" s="15" t="str">
        <f t="shared" si="10"/>
        <v>HEP-OPSKRBA D.O.O.</v>
      </c>
      <c r="E330" s="16">
        <v>42045</v>
      </c>
      <c r="F330" s="16">
        <v>42429</v>
      </c>
      <c r="G330" s="13">
        <v>41794.5</v>
      </c>
      <c r="H330" s="16">
        <v>42429</v>
      </c>
      <c r="I330" s="13">
        <v>41794.5</v>
      </c>
      <c r="J330" s="13">
        <f t="shared" si="11"/>
        <v>52243.125</v>
      </c>
      <c r="K330" s="6"/>
    </row>
    <row r="331" spans="1:11" ht="36" x14ac:dyDescent="0.25">
      <c r="A331" s="3">
        <v>144</v>
      </c>
      <c r="B331" s="14" t="s">
        <v>509</v>
      </c>
      <c r="C331" s="15" t="str">
        <f>"O-15-1061"</f>
        <v>O-15-1061</v>
      </c>
      <c r="D331" s="15" t="str">
        <f t="shared" si="10"/>
        <v>HEP-OPSKRBA D.O.O.</v>
      </c>
      <c r="E331" s="16">
        <v>42060</v>
      </c>
      <c r="F331" s="16">
        <v>42429</v>
      </c>
      <c r="G331" s="13">
        <v>2636.7</v>
      </c>
      <c r="H331" s="16">
        <v>42429</v>
      </c>
      <c r="I331" s="13">
        <v>0</v>
      </c>
      <c r="J331" s="13">
        <f t="shared" si="11"/>
        <v>0</v>
      </c>
      <c r="K331" s="6"/>
    </row>
    <row r="332" spans="1:11" x14ac:dyDescent="0.25">
      <c r="A332" s="3">
        <v>145</v>
      </c>
      <c r="B332" s="14" t="s">
        <v>510</v>
      </c>
      <c r="C332" s="15" t="str">
        <f>"O-15-1202"</f>
        <v>O-15-1202</v>
      </c>
      <c r="D332" s="15" t="str">
        <f t="shared" si="10"/>
        <v>HEP-OPSKRBA D.O.O.</v>
      </c>
      <c r="E332" s="16">
        <v>42061</v>
      </c>
      <c r="F332" s="16">
        <v>42429</v>
      </c>
      <c r="G332" s="13">
        <v>51251.6</v>
      </c>
      <c r="H332" s="16">
        <v>42429</v>
      </c>
      <c r="I332" s="13">
        <v>35105.760000000002</v>
      </c>
      <c r="J332" s="13">
        <f t="shared" si="11"/>
        <v>43882.200000000004</v>
      </c>
      <c r="K332" s="6"/>
    </row>
    <row r="333" spans="1:11" x14ac:dyDescent="0.25">
      <c r="A333" s="3">
        <v>146</v>
      </c>
      <c r="B333" s="14" t="s">
        <v>265</v>
      </c>
      <c r="C333" s="15" t="str">
        <f>"O-15-1066"</f>
        <v>O-15-1066</v>
      </c>
      <c r="D333" s="15" t="str">
        <f t="shared" si="10"/>
        <v>HEP-OPSKRBA D.O.O.</v>
      </c>
      <c r="E333" s="16">
        <v>42048</v>
      </c>
      <c r="F333" s="16">
        <v>42429</v>
      </c>
      <c r="G333" s="13">
        <v>21465.9</v>
      </c>
      <c r="H333" s="16">
        <v>42429</v>
      </c>
      <c r="I333" s="13">
        <v>20454</v>
      </c>
      <c r="J333" s="13">
        <f t="shared" si="11"/>
        <v>25567.5</v>
      </c>
      <c r="K333" s="6"/>
    </row>
    <row r="334" spans="1:11" ht="36" x14ac:dyDescent="0.25">
      <c r="A334" s="3">
        <v>147</v>
      </c>
      <c r="B334" s="14" t="s">
        <v>511</v>
      </c>
      <c r="C334" s="15" t="str">
        <f>"O-15-481"</f>
        <v>O-15-481</v>
      </c>
      <c r="D334" s="15" t="str">
        <f t="shared" si="10"/>
        <v>HEP-OPSKRBA D.O.O.</v>
      </c>
      <c r="E334" s="16">
        <v>42040</v>
      </c>
      <c r="F334" s="16">
        <v>42429</v>
      </c>
      <c r="G334" s="13">
        <v>170850</v>
      </c>
      <c r="H334" s="16">
        <v>42429</v>
      </c>
      <c r="I334" s="13">
        <v>114355</v>
      </c>
      <c r="J334" s="13">
        <f t="shared" si="11"/>
        <v>142943.75</v>
      </c>
      <c r="K334" s="6"/>
    </row>
    <row r="335" spans="1:11" ht="24" x14ac:dyDescent="0.25">
      <c r="A335" s="3">
        <v>148</v>
      </c>
      <c r="B335" s="14" t="s">
        <v>512</v>
      </c>
      <c r="C335" s="15" t="str">
        <f>"O-15-1092"</f>
        <v>O-15-1092</v>
      </c>
      <c r="D335" s="15" t="str">
        <f t="shared" si="10"/>
        <v>HEP-OPSKRBA D.O.O.</v>
      </c>
      <c r="E335" s="16">
        <v>42062</v>
      </c>
      <c r="F335" s="16">
        <v>42429</v>
      </c>
      <c r="G335" s="13">
        <v>5631.68</v>
      </c>
      <c r="H335" s="16">
        <v>42429</v>
      </c>
      <c r="I335" s="13">
        <v>5631.68</v>
      </c>
      <c r="J335" s="13">
        <f t="shared" si="11"/>
        <v>7039.6</v>
      </c>
      <c r="K335" s="6"/>
    </row>
    <row r="336" spans="1:11" x14ac:dyDescent="0.25">
      <c r="A336" s="3">
        <v>149</v>
      </c>
      <c r="B336" s="14" t="s">
        <v>365</v>
      </c>
      <c r="C336" s="15" t="str">
        <f>"O-15-1144"</f>
        <v>O-15-1144</v>
      </c>
      <c r="D336" s="15" t="str">
        <f t="shared" si="10"/>
        <v>HEP-OPSKRBA D.O.O.</v>
      </c>
      <c r="E336" s="16">
        <v>42055</v>
      </c>
      <c r="F336" s="16">
        <v>42429</v>
      </c>
      <c r="G336" s="13">
        <v>17033.580000000002</v>
      </c>
      <c r="H336" s="16">
        <v>42429</v>
      </c>
      <c r="I336" s="13">
        <v>29496.03</v>
      </c>
      <c r="J336" s="13">
        <f t="shared" si="11"/>
        <v>36870.037499999999</v>
      </c>
      <c r="K336" s="6"/>
    </row>
    <row r="337" spans="1:11" ht="24" x14ac:dyDescent="0.25">
      <c r="A337" s="3">
        <v>150</v>
      </c>
      <c r="B337" s="14" t="s">
        <v>513</v>
      </c>
      <c r="C337" s="15" t="str">
        <f>"O-15-699"</f>
        <v>O-15-699</v>
      </c>
      <c r="D337" s="15" t="str">
        <f t="shared" si="10"/>
        <v>HEP-OPSKRBA D.O.O.</v>
      </c>
      <c r="E337" s="16">
        <v>42051</v>
      </c>
      <c r="F337" s="16">
        <v>42429</v>
      </c>
      <c r="G337" s="13">
        <v>6303.6</v>
      </c>
      <c r="H337" s="16">
        <v>42429</v>
      </c>
      <c r="I337" s="13">
        <v>4432.93</v>
      </c>
      <c r="J337" s="13">
        <f t="shared" si="11"/>
        <v>5541.1625000000004</v>
      </c>
      <c r="K337" s="6"/>
    </row>
    <row r="338" spans="1:11" ht="24" x14ac:dyDescent="0.25">
      <c r="A338" s="3">
        <v>151</v>
      </c>
      <c r="B338" s="14" t="s">
        <v>514</v>
      </c>
      <c r="C338" s="15" t="str">
        <f>"O-15-1109"</f>
        <v>O-15-1109</v>
      </c>
      <c r="D338" s="15" t="str">
        <f t="shared" si="10"/>
        <v>HEP-OPSKRBA D.O.O.</v>
      </c>
      <c r="E338" s="16">
        <v>42060</v>
      </c>
      <c r="F338" s="16">
        <v>42429</v>
      </c>
      <c r="G338" s="13">
        <v>16753.5</v>
      </c>
      <c r="H338" s="16">
        <v>42429</v>
      </c>
      <c r="I338" s="13">
        <v>32486.13</v>
      </c>
      <c r="J338" s="13">
        <f t="shared" si="11"/>
        <v>40607.662499999999</v>
      </c>
      <c r="K338" s="6"/>
    </row>
    <row r="339" spans="1:11" x14ac:dyDescent="0.25">
      <c r="A339" s="3">
        <v>152</v>
      </c>
      <c r="B339" s="14" t="s">
        <v>176</v>
      </c>
      <c r="C339" s="15" t="str">
        <f>"O-15-1073"</f>
        <v>O-15-1073</v>
      </c>
      <c r="D339" s="15" t="str">
        <f t="shared" si="10"/>
        <v>HEP-OPSKRBA D.O.O.</v>
      </c>
      <c r="E339" s="16">
        <v>42048</v>
      </c>
      <c r="F339" s="16">
        <v>42429</v>
      </c>
      <c r="G339" s="13">
        <v>29752.55</v>
      </c>
      <c r="H339" s="16">
        <v>42429</v>
      </c>
      <c r="I339" s="13">
        <v>25943.63</v>
      </c>
      <c r="J339" s="13">
        <f t="shared" si="11"/>
        <v>32429.537500000002</v>
      </c>
      <c r="K339" s="6"/>
    </row>
    <row r="340" spans="1:11" ht="24" x14ac:dyDescent="0.25">
      <c r="A340" s="3">
        <v>153</v>
      </c>
      <c r="B340" s="14" t="s">
        <v>515</v>
      </c>
      <c r="C340" s="15" t="str">
        <f>"0-15-1082"</f>
        <v>0-15-1082</v>
      </c>
      <c r="D340" s="15" t="str">
        <f t="shared" si="10"/>
        <v>HEP-OPSKRBA D.O.O.</v>
      </c>
      <c r="E340" s="16">
        <v>42047</v>
      </c>
      <c r="F340" s="16"/>
      <c r="G340" s="13">
        <v>64323.22</v>
      </c>
      <c r="H340" s="16"/>
      <c r="I340" s="13">
        <v>8036.95</v>
      </c>
      <c r="J340" s="13">
        <f t="shared" si="11"/>
        <v>10046.1875</v>
      </c>
      <c r="K340" s="6"/>
    </row>
    <row r="341" spans="1:11" ht="15" customHeight="1" x14ac:dyDescent="0.25">
      <c r="A341" s="3">
        <v>154</v>
      </c>
      <c r="B341" s="14" t="s">
        <v>516</v>
      </c>
      <c r="C341" s="15" t="str">
        <f>"O-15-1116"</f>
        <v>O-15-1116</v>
      </c>
      <c r="D341" s="15" t="str">
        <f t="shared" si="10"/>
        <v>HEP-OPSKRBA D.O.O.</v>
      </c>
      <c r="E341" s="16">
        <v>42060</v>
      </c>
      <c r="F341" s="16">
        <v>42429</v>
      </c>
      <c r="G341" s="13">
        <v>59785.85</v>
      </c>
      <c r="H341" s="16">
        <v>42429</v>
      </c>
      <c r="I341" s="13">
        <v>59785.85</v>
      </c>
      <c r="J341" s="13">
        <f t="shared" si="11"/>
        <v>74732.3125</v>
      </c>
      <c r="K341" s="6"/>
    </row>
    <row r="342" spans="1:11" ht="24" x14ac:dyDescent="0.25">
      <c r="A342" s="3">
        <v>156</v>
      </c>
      <c r="B342" s="14" t="s">
        <v>170</v>
      </c>
      <c r="C342" s="15" t="str">
        <f>"O-15-749"</f>
        <v>O-15-749</v>
      </c>
      <c r="D342" s="15" t="str">
        <f t="shared" ref="D342:D402" si="12">CONCATENATE("HEP-OPSKRBA D.O.O.")</f>
        <v>HEP-OPSKRBA D.O.O.</v>
      </c>
      <c r="E342" s="16">
        <v>42053</v>
      </c>
      <c r="F342" s="16"/>
      <c r="G342" s="13">
        <v>34850</v>
      </c>
      <c r="H342" s="16"/>
      <c r="I342" s="13">
        <v>23319.26</v>
      </c>
      <c r="J342" s="13">
        <f t="shared" si="11"/>
        <v>29149.074999999997</v>
      </c>
      <c r="K342" s="6"/>
    </row>
    <row r="343" spans="1:11" x14ac:dyDescent="0.25">
      <c r="A343" s="3">
        <v>157</v>
      </c>
      <c r="B343" s="14" t="s">
        <v>517</v>
      </c>
      <c r="C343" s="15" t="str">
        <f>"O-15-1106"</f>
        <v>O-15-1106</v>
      </c>
      <c r="D343" s="15" t="str">
        <f t="shared" si="12"/>
        <v>HEP-OPSKRBA D.O.O.</v>
      </c>
      <c r="E343" s="16">
        <v>42051</v>
      </c>
      <c r="F343" s="16">
        <v>42400</v>
      </c>
      <c r="G343" s="13">
        <v>21195.39</v>
      </c>
      <c r="H343" s="16">
        <v>42400</v>
      </c>
      <c r="I343" s="13">
        <v>18834.88</v>
      </c>
      <c r="J343" s="13">
        <f t="shared" si="11"/>
        <v>23543.600000000002</v>
      </c>
      <c r="K343" s="6"/>
    </row>
    <row r="344" spans="1:11" ht="24" x14ac:dyDescent="0.25">
      <c r="A344" s="3">
        <v>158</v>
      </c>
      <c r="B344" s="14" t="s">
        <v>518</v>
      </c>
      <c r="C344" s="15" t="str">
        <f>"O-15-1076"</f>
        <v>O-15-1076</v>
      </c>
      <c r="D344" s="15" t="str">
        <f t="shared" si="12"/>
        <v>HEP-OPSKRBA D.O.O.</v>
      </c>
      <c r="E344" s="16">
        <v>42064</v>
      </c>
      <c r="F344" s="16">
        <v>42369</v>
      </c>
      <c r="G344" s="13">
        <v>217232</v>
      </c>
      <c r="H344" s="16">
        <v>42369</v>
      </c>
      <c r="I344" s="13">
        <v>148650.5</v>
      </c>
      <c r="J344" s="13">
        <f t="shared" si="11"/>
        <v>185813.125</v>
      </c>
      <c r="K344" s="6"/>
    </row>
    <row r="345" spans="1:11" ht="36" x14ac:dyDescent="0.25">
      <c r="A345" s="3">
        <v>159</v>
      </c>
      <c r="B345" s="14" t="s">
        <v>519</v>
      </c>
      <c r="C345" s="15" t="str">
        <f>"O-15-1132"</f>
        <v>O-15-1132</v>
      </c>
      <c r="D345" s="15" t="str">
        <f t="shared" si="12"/>
        <v>HEP-OPSKRBA D.O.O.</v>
      </c>
      <c r="E345" s="16">
        <v>42054</v>
      </c>
      <c r="F345" s="16"/>
      <c r="G345" s="13">
        <v>73711.149999999994</v>
      </c>
      <c r="H345" s="16"/>
      <c r="I345" s="13">
        <v>58352</v>
      </c>
      <c r="J345" s="13">
        <f t="shared" si="11"/>
        <v>72940</v>
      </c>
      <c r="K345" s="6"/>
    </row>
    <row r="346" spans="1:11" ht="24" x14ac:dyDescent="0.25">
      <c r="A346" s="3">
        <v>161</v>
      </c>
      <c r="B346" s="14" t="s">
        <v>521</v>
      </c>
      <c r="C346" s="15" t="str">
        <f>"O-15-1093"</f>
        <v>O-15-1093</v>
      </c>
      <c r="D346" s="15" t="str">
        <f t="shared" si="12"/>
        <v>HEP-OPSKRBA D.O.O.</v>
      </c>
      <c r="E346" s="16">
        <v>42053</v>
      </c>
      <c r="F346" s="16">
        <v>42429</v>
      </c>
      <c r="G346" s="13">
        <v>13413.43</v>
      </c>
      <c r="H346" s="16">
        <v>42429</v>
      </c>
      <c r="I346" s="13">
        <v>29556.29</v>
      </c>
      <c r="J346" s="13">
        <f t="shared" si="11"/>
        <v>36945.362500000003</v>
      </c>
      <c r="K346" s="6"/>
    </row>
    <row r="347" spans="1:11" ht="24" x14ac:dyDescent="0.25">
      <c r="A347" s="3">
        <v>162</v>
      </c>
      <c r="B347" s="14" t="s">
        <v>522</v>
      </c>
      <c r="C347" s="15" t="str">
        <f>"O-15-1099"</f>
        <v>O-15-1099</v>
      </c>
      <c r="D347" s="15" t="str">
        <f t="shared" si="12"/>
        <v>HEP-OPSKRBA D.O.O.</v>
      </c>
      <c r="E347" s="16">
        <v>42059</v>
      </c>
      <c r="F347" s="16">
        <v>42429</v>
      </c>
      <c r="G347" s="13">
        <v>16983</v>
      </c>
      <c r="H347" s="16">
        <v>42429</v>
      </c>
      <c r="I347" s="13">
        <v>21821</v>
      </c>
      <c r="J347" s="13">
        <f t="shared" si="11"/>
        <v>27276.25</v>
      </c>
      <c r="K347" s="6"/>
    </row>
    <row r="348" spans="1:11" ht="24" x14ac:dyDescent="0.25">
      <c r="A348" s="3">
        <v>163</v>
      </c>
      <c r="B348" s="14" t="s">
        <v>523</v>
      </c>
      <c r="C348" s="15" t="str">
        <f>"O-15-1094"</f>
        <v>O-15-1094</v>
      </c>
      <c r="D348" s="15" t="str">
        <f t="shared" si="12"/>
        <v>HEP-OPSKRBA D.O.O.</v>
      </c>
      <c r="E348" s="16">
        <v>42058</v>
      </c>
      <c r="F348" s="16">
        <v>42429</v>
      </c>
      <c r="G348" s="13">
        <v>56324.4</v>
      </c>
      <c r="H348" s="16">
        <v>42429</v>
      </c>
      <c r="I348" s="13">
        <v>28051.25</v>
      </c>
      <c r="J348" s="13">
        <f t="shared" si="11"/>
        <v>35064.0625</v>
      </c>
      <c r="K348" s="6"/>
    </row>
    <row r="349" spans="1:11" x14ac:dyDescent="0.25">
      <c r="A349" s="3">
        <v>164</v>
      </c>
      <c r="B349" s="14" t="s">
        <v>289</v>
      </c>
      <c r="C349" s="15" t="str">
        <f>"O-15-1028"</f>
        <v>O-15-1028</v>
      </c>
      <c r="D349" s="15" t="str">
        <f t="shared" si="12"/>
        <v>HEP-OPSKRBA D.O.O.</v>
      </c>
      <c r="E349" s="16">
        <v>42038</v>
      </c>
      <c r="F349" s="16">
        <v>42429</v>
      </c>
      <c r="G349" s="13">
        <v>57375</v>
      </c>
      <c r="H349" s="16">
        <v>42429</v>
      </c>
      <c r="I349" s="13">
        <v>64422.51</v>
      </c>
      <c r="J349" s="13">
        <f t="shared" si="11"/>
        <v>80528.137499999997</v>
      </c>
      <c r="K349" s="6"/>
    </row>
    <row r="350" spans="1:11" ht="24" x14ac:dyDescent="0.25">
      <c r="A350" s="3">
        <v>165</v>
      </c>
      <c r="B350" s="14" t="s">
        <v>524</v>
      </c>
      <c r="C350" s="15" t="str">
        <f>"O-15-1237"</f>
        <v>O-15-1237</v>
      </c>
      <c r="D350" s="15" t="str">
        <f t="shared" si="12"/>
        <v>HEP-OPSKRBA D.O.O.</v>
      </c>
      <c r="E350" s="16">
        <v>42062</v>
      </c>
      <c r="F350" s="16">
        <v>42429</v>
      </c>
      <c r="G350" s="13">
        <v>9939.9</v>
      </c>
      <c r="H350" s="16">
        <v>42429</v>
      </c>
      <c r="I350" s="13">
        <v>7476.15</v>
      </c>
      <c r="J350" s="13">
        <f t="shared" si="11"/>
        <v>9345.1875</v>
      </c>
      <c r="K350" s="6"/>
    </row>
    <row r="351" spans="1:11" ht="36" x14ac:dyDescent="0.25">
      <c r="A351" s="3">
        <v>166</v>
      </c>
      <c r="B351" s="14" t="s">
        <v>451</v>
      </c>
      <c r="C351" s="15" t="str">
        <f>"O-15-1105"</f>
        <v>O-15-1105</v>
      </c>
      <c r="D351" s="15" t="str">
        <f t="shared" si="12"/>
        <v>HEP-OPSKRBA D.O.O.</v>
      </c>
      <c r="E351" s="16">
        <v>42060</v>
      </c>
      <c r="F351" s="16">
        <v>42429</v>
      </c>
      <c r="G351" s="13">
        <v>33124.5</v>
      </c>
      <c r="H351" s="16">
        <v>42429</v>
      </c>
      <c r="I351" s="40">
        <v>0</v>
      </c>
      <c r="J351" s="40">
        <f t="shared" si="11"/>
        <v>0</v>
      </c>
      <c r="K351" s="6"/>
    </row>
    <row r="352" spans="1:11" ht="24" x14ac:dyDescent="0.25">
      <c r="A352" s="3">
        <v>167</v>
      </c>
      <c r="B352" s="14" t="s">
        <v>525</v>
      </c>
      <c r="C352" s="15" t="str">
        <f>"O-15-1097"</f>
        <v>O-15-1097</v>
      </c>
      <c r="D352" s="15" t="str">
        <f t="shared" si="12"/>
        <v>HEP-OPSKRBA D.O.O.</v>
      </c>
      <c r="E352" s="16">
        <v>42059</v>
      </c>
      <c r="F352" s="16">
        <v>42429</v>
      </c>
      <c r="G352" s="13">
        <v>10870.23</v>
      </c>
      <c r="H352" s="16">
        <v>42429</v>
      </c>
      <c r="I352" s="13">
        <v>13892</v>
      </c>
      <c r="J352" s="13">
        <f t="shared" si="11"/>
        <v>17365</v>
      </c>
      <c r="K352" s="6"/>
    </row>
    <row r="353" spans="1:11" ht="24" x14ac:dyDescent="0.25">
      <c r="A353" s="3">
        <v>168</v>
      </c>
      <c r="B353" s="14" t="s">
        <v>526</v>
      </c>
      <c r="C353" s="15" t="str">
        <f>"O-15-1108"</f>
        <v>O-15-1108</v>
      </c>
      <c r="D353" s="15" t="str">
        <f t="shared" si="12"/>
        <v>HEP-OPSKRBA D.O.O.</v>
      </c>
      <c r="E353" s="16">
        <v>42060</v>
      </c>
      <c r="F353" s="16">
        <v>42429</v>
      </c>
      <c r="G353" s="13">
        <v>5712</v>
      </c>
      <c r="H353" s="16">
        <v>42429</v>
      </c>
      <c r="I353" s="40">
        <v>0</v>
      </c>
      <c r="J353" s="40">
        <f t="shared" si="11"/>
        <v>0</v>
      </c>
      <c r="K353" s="6"/>
    </row>
    <row r="354" spans="1:11" ht="24" x14ac:dyDescent="0.25">
      <c r="A354" s="3">
        <v>169</v>
      </c>
      <c r="B354" s="14" t="s">
        <v>527</v>
      </c>
      <c r="C354" s="15" t="str">
        <f>"O-15-1100"</f>
        <v>O-15-1100</v>
      </c>
      <c r="D354" s="15" t="str">
        <f t="shared" si="12"/>
        <v>HEP-OPSKRBA D.O.O.</v>
      </c>
      <c r="E354" s="16">
        <v>42053</v>
      </c>
      <c r="F354" s="16">
        <v>42429</v>
      </c>
      <c r="G354" s="13">
        <v>20723</v>
      </c>
      <c r="H354" s="16">
        <v>42429</v>
      </c>
      <c r="I354" s="13">
        <v>13971.62</v>
      </c>
      <c r="J354" s="13">
        <f t="shared" si="11"/>
        <v>17464.525000000001</v>
      </c>
      <c r="K354" s="6"/>
    </row>
    <row r="355" spans="1:11" x14ac:dyDescent="0.25">
      <c r="A355" s="3">
        <v>170</v>
      </c>
      <c r="B355" s="14" t="s">
        <v>217</v>
      </c>
      <c r="C355" s="15" t="str">
        <f>"O-15-1200"</f>
        <v>O-15-1200</v>
      </c>
      <c r="D355" s="15" t="str">
        <f t="shared" si="12"/>
        <v>HEP-OPSKRBA D.O.O.</v>
      </c>
      <c r="E355" s="16">
        <v>42060</v>
      </c>
      <c r="F355" s="16">
        <v>42429</v>
      </c>
      <c r="G355" s="13">
        <v>10540</v>
      </c>
      <c r="H355" s="16">
        <v>42429</v>
      </c>
      <c r="I355" s="13">
        <v>9474.39</v>
      </c>
      <c r="J355" s="13">
        <f t="shared" si="11"/>
        <v>11842.987499999999</v>
      </c>
      <c r="K355" s="6"/>
    </row>
    <row r="356" spans="1:11" ht="24" x14ac:dyDescent="0.25">
      <c r="A356" s="3">
        <v>171</v>
      </c>
      <c r="B356" s="14" t="s">
        <v>528</v>
      </c>
      <c r="C356" s="15" t="str">
        <f>"O-15-1062"</f>
        <v>O-15-1062</v>
      </c>
      <c r="D356" s="15" t="str">
        <f t="shared" si="12"/>
        <v>HEP-OPSKRBA D.O.O.</v>
      </c>
      <c r="E356" s="16">
        <v>42052</v>
      </c>
      <c r="F356" s="16">
        <v>42429</v>
      </c>
      <c r="G356" s="13">
        <v>90443.4</v>
      </c>
      <c r="H356" s="16">
        <v>42429</v>
      </c>
      <c r="I356" s="40">
        <v>0</v>
      </c>
      <c r="J356" s="40">
        <f t="shared" si="11"/>
        <v>0</v>
      </c>
      <c r="K356" s="6"/>
    </row>
    <row r="357" spans="1:11" ht="24" x14ac:dyDescent="0.25">
      <c r="A357" s="3">
        <v>172</v>
      </c>
      <c r="B357" s="14" t="s">
        <v>529</v>
      </c>
      <c r="C357" s="15" t="str">
        <f>"O-15-922"</f>
        <v>O-15-922</v>
      </c>
      <c r="D357" s="15" t="str">
        <f t="shared" si="12"/>
        <v>HEP-OPSKRBA D.O.O.</v>
      </c>
      <c r="E357" s="16">
        <v>42039</v>
      </c>
      <c r="F357" s="16">
        <v>42429</v>
      </c>
      <c r="G357" s="13">
        <v>32407.1</v>
      </c>
      <c r="H357" s="16">
        <v>42429</v>
      </c>
      <c r="I357" s="13">
        <v>20205.39</v>
      </c>
      <c r="J357" s="13">
        <f t="shared" si="11"/>
        <v>25256.737499999999</v>
      </c>
      <c r="K357" s="6"/>
    </row>
    <row r="358" spans="1:11" ht="24" x14ac:dyDescent="0.25">
      <c r="A358" s="3">
        <v>173</v>
      </c>
      <c r="B358" s="14" t="s">
        <v>530</v>
      </c>
      <c r="C358" s="15" t="str">
        <f>"O-15-908"</f>
        <v>O-15-908</v>
      </c>
      <c r="D358" s="15" t="str">
        <f t="shared" si="12"/>
        <v>HEP-OPSKRBA D.O.O.</v>
      </c>
      <c r="E358" s="16">
        <v>42058</v>
      </c>
      <c r="F358" s="16">
        <v>42429</v>
      </c>
      <c r="G358" s="13">
        <v>22848</v>
      </c>
      <c r="H358" s="16">
        <v>42429</v>
      </c>
      <c r="I358" s="13">
        <v>24142.15</v>
      </c>
      <c r="J358" s="13">
        <f t="shared" si="11"/>
        <v>30177.6875</v>
      </c>
      <c r="K358" s="6"/>
    </row>
    <row r="359" spans="1:11" ht="24" x14ac:dyDescent="0.25">
      <c r="A359" s="3">
        <v>174</v>
      </c>
      <c r="B359" s="14" t="s">
        <v>531</v>
      </c>
      <c r="C359" s="15" t="str">
        <f>"O-15-1157"</f>
        <v>O-15-1157</v>
      </c>
      <c r="D359" s="15" t="str">
        <f t="shared" si="12"/>
        <v>HEP-OPSKRBA D.O.O.</v>
      </c>
      <c r="E359" s="16">
        <v>42061</v>
      </c>
      <c r="F359" s="16">
        <v>42429</v>
      </c>
      <c r="G359" s="13">
        <v>5645.28</v>
      </c>
      <c r="H359" s="16">
        <v>42429</v>
      </c>
      <c r="I359" s="13">
        <v>5567</v>
      </c>
      <c r="J359" s="13">
        <f t="shared" si="11"/>
        <v>6958.75</v>
      </c>
      <c r="K359" s="6"/>
    </row>
    <row r="360" spans="1:11" ht="36" x14ac:dyDescent="0.25">
      <c r="A360" s="3">
        <v>175</v>
      </c>
      <c r="B360" s="14" t="s">
        <v>532</v>
      </c>
      <c r="C360" s="15" t="str">
        <f>"O-15-1007"</f>
        <v>O-15-1007</v>
      </c>
      <c r="D360" s="15" t="str">
        <f t="shared" si="12"/>
        <v>HEP-OPSKRBA D.O.O.</v>
      </c>
      <c r="E360" s="16">
        <v>42061</v>
      </c>
      <c r="F360" s="16">
        <v>42429</v>
      </c>
      <c r="G360" s="13">
        <v>16508.7</v>
      </c>
      <c r="H360" s="16">
        <v>42429</v>
      </c>
      <c r="I360" s="40">
        <v>0</v>
      </c>
      <c r="J360" s="40">
        <f t="shared" si="11"/>
        <v>0</v>
      </c>
      <c r="K360" s="6"/>
    </row>
    <row r="361" spans="1:11" ht="24" x14ac:dyDescent="0.25">
      <c r="A361" s="3">
        <v>176</v>
      </c>
      <c r="B361" s="14" t="s">
        <v>533</v>
      </c>
      <c r="C361" s="15" t="str">
        <f>"O-15-915"</f>
        <v>O-15-915</v>
      </c>
      <c r="D361" s="15" t="str">
        <f t="shared" si="12"/>
        <v>HEP-OPSKRBA D.O.O.</v>
      </c>
      <c r="E361" s="16">
        <v>42032</v>
      </c>
      <c r="F361" s="16">
        <v>42429</v>
      </c>
      <c r="G361" s="13">
        <v>171054</v>
      </c>
      <c r="H361" s="16">
        <v>42429</v>
      </c>
      <c r="I361" s="13">
        <v>118479.11</v>
      </c>
      <c r="J361" s="13">
        <f t="shared" si="11"/>
        <v>148098.88750000001</v>
      </c>
      <c r="K361" s="6"/>
    </row>
    <row r="362" spans="1:11" ht="24" x14ac:dyDescent="0.25">
      <c r="A362" s="3">
        <v>177</v>
      </c>
      <c r="B362" s="14" t="s">
        <v>534</v>
      </c>
      <c r="C362" s="15" t="str">
        <f>"O-15-1102"</f>
        <v>O-15-1102</v>
      </c>
      <c r="D362" s="15" t="str">
        <f t="shared" si="12"/>
        <v>HEP-OPSKRBA D.O.O.</v>
      </c>
      <c r="E362" s="16">
        <v>42059</v>
      </c>
      <c r="F362" s="16">
        <v>42429</v>
      </c>
      <c r="G362" s="13">
        <v>8361.0300000000007</v>
      </c>
      <c r="H362" s="16">
        <v>42429</v>
      </c>
      <c r="I362" s="13">
        <v>10056</v>
      </c>
      <c r="J362" s="13">
        <f t="shared" si="11"/>
        <v>12570</v>
      </c>
      <c r="K362" s="6"/>
    </row>
    <row r="363" spans="1:11" x14ac:dyDescent="0.25">
      <c r="A363" s="3">
        <v>178</v>
      </c>
      <c r="B363" s="14" t="s">
        <v>96</v>
      </c>
      <c r="C363" s="15" t="str">
        <f>"O-15-1033"</f>
        <v>O-15-1033</v>
      </c>
      <c r="D363" s="15" t="str">
        <f t="shared" si="12"/>
        <v>HEP-OPSKRBA D.O.O.</v>
      </c>
      <c r="E363" s="16">
        <v>42047</v>
      </c>
      <c r="F363" s="16">
        <v>42429</v>
      </c>
      <c r="G363" s="13">
        <v>18411</v>
      </c>
      <c r="H363" s="16">
        <v>42429</v>
      </c>
      <c r="I363" s="13">
        <v>6901.08</v>
      </c>
      <c r="J363" s="13">
        <f t="shared" si="11"/>
        <v>8626.35</v>
      </c>
      <c r="K363" s="6"/>
    </row>
    <row r="364" spans="1:11" x14ac:dyDescent="0.25">
      <c r="A364" s="3">
        <v>179</v>
      </c>
      <c r="B364" s="14" t="s">
        <v>535</v>
      </c>
      <c r="C364" s="15" t="str">
        <f>"O-15-1131"</f>
        <v>O-15-1131</v>
      </c>
      <c r="D364" s="15" t="str">
        <f t="shared" si="12"/>
        <v>HEP-OPSKRBA D.O.O.</v>
      </c>
      <c r="E364" s="16">
        <v>42054</v>
      </c>
      <c r="F364" s="16">
        <v>42429</v>
      </c>
      <c r="G364" s="13">
        <v>68860.2</v>
      </c>
      <c r="H364" s="16">
        <v>42429</v>
      </c>
      <c r="I364" s="13">
        <v>35122.78</v>
      </c>
      <c r="J364" s="13">
        <f t="shared" si="11"/>
        <v>43903.474999999999</v>
      </c>
      <c r="K364" s="6"/>
    </row>
    <row r="365" spans="1:11" ht="24" x14ac:dyDescent="0.25">
      <c r="A365" s="3">
        <v>180</v>
      </c>
      <c r="B365" s="14" t="s">
        <v>536</v>
      </c>
      <c r="C365" s="15" t="str">
        <f>"O-15-1059"</f>
        <v>O-15-1059</v>
      </c>
      <c r="D365" s="15" t="str">
        <f t="shared" si="12"/>
        <v>HEP-OPSKRBA D.O.O.</v>
      </c>
      <c r="E365" s="16">
        <v>42061</v>
      </c>
      <c r="F365" s="16">
        <v>42429</v>
      </c>
      <c r="G365" s="13">
        <v>8160</v>
      </c>
      <c r="H365" s="16">
        <v>42429</v>
      </c>
      <c r="I365" s="13">
        <v>15801.21</v>
      </c>
      <c r="J365" s="13">
        <f t="shared" si="11"/>
        <v>19751.512499999997</v>
      </c>
      <c r="K365" s="6"/>
    </row>
    <row r="366" spans="1:11" ht="24" x14ac:dyDescent="0.25">
      <c r="A366" s="3">
        <v>181</v>
      </c>
      <c r="B366" s="14" t="s">
        <v>307</v>
      </c>
      <c r="C366" s="15" t="str">
        <f>"O-15-1055"</f>
        <v>O-15-1055</v>
      </c>
      <c r="D366" s="15" t="str">
        <f t="shared" si="12"/>
        <v>HEP-OPSKRBA D.O.O.</v>
      </c>
      <c r="E366" s="16">
        <v>42061</v>
      </c>
      <c r="F366" s="16">
        <v>42429</v>
      </c>
      <c r="G366" s="13">
        <v>118442.4</v>
      </c>
      <c r="H366" s="16">
        <v>42429</v>
      </c>
      <c r="I366" s="13">
        <v>15151.14</v>
      </c>
      <c r="J366" s="13">
        <f t="shared" si="11"/>
        <v>18938.924999999999</v>
      </c>
      <c r="K366" s="6"/>
    </row>
    <row r="367" spans="1:11" ht="24" x14ac:dyDescent="0.25">
      <c r="A367" s="3">
        <v>182</v>
      </c>
      <c r="B367" s="14" t="s">
        <v>537</v>
      </c>
      <c r="C367" s="15" t="str">
        <f>"O-15-785"</f>
        <v>O-15-785</v>
      </c>
      <c r="D367" s="15" t="str">
        <f t="shared" si="12"/>
        <v>HEP-OPSKRBA D.O.O.</v>
      </c>
      <c r="E367" s="16">
        <v>42032</v>
      </c>
      <c r="F367" s="16">
        <v>42429</v>
      </c>
      <c r="G367" s="13">
        <v>106284</v>
      </c>
      <c r="H367" s="16">
        <v>42429</v>
      </c>
      <c r="I367" s="13">
        <v>64373.56</v>
      </c>
      <c r="J367" s="13">
        <f t="shared" si="11"/>
        <v>80466.95</v>
      </c>
      <c r="K367" s="6"/>
    </row>
    <row r="368" spans="1:11" ht="24" x14ac:dyDescent="0.25">
      <c r="A368" s="3">
        <v>183</v>
      </c>
      <c r="B368" s="14" t="s">
        <v>538</v>
      </c>
      <c r="C368" s="15" t="str">
        <f>"O-15-1164"</f>
        <v>O-15-1164</v>
      </c>
      <c r="D368" s="15" t="str">
        <f t="shared" si="12"/>
        <v>HEP-OPSKRBA D.O.O.</v>
      </c>
      <c r="E368" s="16">
        <v>42058</v>
      </c>
      <c r="F368" s="16">
        <v>42429</v>
      </c>
      <c r="G368" s="13">
        <v>32419.85</v>
      </c>
      <c r="H368" s="16">
        <v>42429</v>
      </c>
      <c r="I368" s="13">
        <v>31124.6</v>
      </c>
      <c r="J368" s="13">
        <f t="shared" si="11"/>
        <v>38905.75</v>
      </c>
      <c r="K368" s="6"/>
    </row>
    <row r="369" spans="1:11" ht="24" x14ac:dyDescent="0.25">
      <c r="A369" s="3">
        <v>184</v>
      </c>
      <c r="B369" s="14" t="s">
        <v>539</v>
      </c>
      <c r="C369" s="15" t="str">
        <f>"O-15-905"</f>
        <v>O-15-905</v>
      </c>
      <c r="D369" s="15" t="str">
        <f t="shared" si="12"/>
        <v>HEP-OPSKRBA D.O.O.</v>
      </c>
      <c r="E369" s="16">
        <v>42030</v>
      </c>
      <c r="F369" s="16">
        <v>42429</v>
      </c>
      <c r="G369" s="13">
        <v>7894.8</v>
      </c>
      <c r="H369" s="16">
        <v>42429</v>
      </c>
      <c r="I369" s="13">
        <v>9945.2000000000007</v>
      </c>
      <c r="J369" s="13">
        <f t="shared" si="11"/>
        <v>12431.5</v>
      </c>
      <c r="K369" s="6"/>
    </row>
    <row r="370" spans="1:11" ht="24" x14ac:dyDescent="0.25">
      <c r="A370" s="3">
        <v>185</v>
      </c>
      <c r="B370" s="14" t="s">
        <v>540</v>
      </c>
      <c r="C370" s="15" t="str">
        <f>"O-15-1065"</f>
        <v>O-15-1065</v>
      </c>
      <c r="D370" s="15" t="str">
        <f t="shared" si="12"/>
        <v>HEP-OPSKRBA D.O.O.</v>
      </c>
      <c r="E370" s="16">
        <v>42046</v>
      </c>
      <c r="F370" s="16">
        <v>42429</v>
      </c>
      <c r="G370" s="13">
        <v>5100</v>
      </c>
      <c r="H370" s="16">
        <v>42429</v>
      </c>
      <c r="I370" s="13">
        <v>7774</v>
      </c>
      <c r="J370" s="13">
        <f t="shared" si="11"/>
        <v>9717.5</v>
      </c>
      <c r="K370" s="6"/>
    </row>
    <row r="371" spans="1:11" ht="24" x14ac:dyDescent="0.25">
      <c r="A371" s="3">
        <v>186</v>
      </c>
      <c r="B371" s="14" t="s">
        <v>541</v>
      </c>
      <c r="C371" s="15" t="str">
        <f>"O-15-1095"</f>
        <v>O-15-1095</v>
      </c>
      <c r="D371" s="15" t="str">
        <f t="shared" si="12"/>
        <v>HEP-OPSKRBA D.O.O.</v>
      </c>
      <c r="E371" s="16">
        <v>42058</v>
      </c>
      <c r="F371" s="16">
        <v>42429</v>
      </c>
      <c r="G371" s="13">
        <v>4007.21</v>
      </c>
      <c r="H371" s="16">
        <v>42429</v>
      </c>
      <c r="I371" s="13">
        <v>2745.71</v>
      </c>
      <c r="J371" s="13">
        <f t="shared" si="11"/>
        <v>3432.1374999999998</v>
      </c>
      <c r="K371" s="6"/>
    </row>
    <row r="372" spans="1:11" ht="24" x14ac:dyDescent="0.25">
      <c r="A372" s="3">
        <v>187</v>
      </c>
      <c r="B372" s="14" t="s">
        <v>377</v>
      </c>
      <c r="C372" s="15" t="str">
        <f>"O-15-1038"</f>
        <v>O-15-1038</v>
      </c>
      <c r="D372" s="15" t="str">
        <f t="shared" si="12"/>
        <v>HEP-OPSKRBA D.O.O.</v>
      </c>
      <c r="E372" s="16">
        <v>42041</v>
      </c>
      <c r="F372" s="16">
        <v>42429</v>
      </c>
      <c r="G372" s="13">
        <v>43232.7</v>
      </c>
      <c r="H372" s="16">
        <v>42429</v>
      </c>
      <c r="I372" s="13">
        <v>75447.25</v>
      </c>
      <c r="J372" s="13">
        <f t="shared" si="11"/>
        <v>94309.0625</v>
      </c>
      <c r="K372" s="6"/>
    </row>
    <row r="373" spans="1:11" ht="24" x14ac:dyDescent="0.25">
      <c r="A373" s="3">
        <v>188</v>
      </c>
      <c r="B373" s="14" t="s">
        <v>542</v>
      </c>
      <c r="C373" s="15" t="str">
        <f>"O-15-1086"</f>
        <v>O-15-1086</v>
      </c>
      <c r="D373" s="15" t="str">
        <f t="shared" si="12"/>
        <v>HEP-OPSKRBA D.O.O.</v>
      </c>
      <c r="E373" s="16">
        <v>42061</v>
      </c>
      <c r="F373" s="16">
        <v>42429</v>
      </c>
      <c r="G373" s="13">
        <v>15810</v>
      </c>
      <c r="H373" s="16">
        <v>42429</v>
      </c>
      <c r="I373" s="13">
        <v>39028.870000000003</v>
      </c>
      <c r="J373" s="13">
        <f t="shared" ref="J373:J434" si="13">I373*1.25</f>
        <v>48786.087500000001</v>
      </c>
      <c r="K373" s="6"/>
    </row>
    <row r="374" spans="1:11" ht="24" x14ac:dyDescent="0.25">
      <c r="A374" s="3">
        <v>189</v>
      </c>
      <c r="B374" s="14" t="s">
        <v>543</v>
      </c>
      <c r="C374" s="15" t="str">
        <f>"O-15-1096"</f>
        <v>O-15-1096</v>
      </c>
      <c r="D374" s="15" t="str">
        <f t="shared" si="12"/>
        <v>HEP-OPSKRBA D.O.O.</v>
      </c>
      <c r="E374" s="16">
        <v>42059</v>
      </c>
      <c r="F374" s="16">
        <v>42429</v>
      </c>
      <c r="G374" s="13">
        <v>8007</v>
      </c>
      <c r="H374" s="16">
        <v>42429</v>
      </c>
      <c r="I374" s="13">
        <v>8183</v>
      </c>
      <c r="J374" s="13">
        <f t="shared" si="13"/>
        <v>10228.75</v>
      </c>
      <c r="K374" s="6"/>
    </row>
    <row r="375" spans="1:11" ht="24" x14ac:dyDescent="0.25">
      <c r="A375" s="3">
        <v>190</v>
      </c>
      <c r="B375" s="14" t="s">
        <v>544</v>
      </c>
      <c r="C375" s="15" t="str">
        <f>"O-15-1043"</f>
        <v>O-15-1043</v>
      </c>
      <c r="D375" s="15" t="str">
        <f t="shared" si="12"/>
        <v>HEP-OPSKRBA D.O.O.</v>
      </c>
      <c r="E375" s="16">
        <v>42040</v>
      </c>
      <c r="F375" s="16">
        <v>42429</v>
      </c>
      <c r="G375" s="13">
        <v>61200</v>
      </c>
      <c r="H375" s="16">
        <v>42429</v>
      </c>
      <c r="I375" s="13">
        <v>40260.54</v>
      </c>
      <c r="J375" s="13">
        <f t="shared" si="13"/>
        <v>50325.675000000003</v>
      </c>
      <c r="K375" s="6"/>
    </row>
    <row r="376" spans="1:11" ht="24" x14ac:dyDescent="0.25">
      <c r="A376" s="3">
        <v>191</v>
      </c>
      <c r="B376" s="14" t="s">
        <v>545</v>
      </c>
      <c r="C376" s="15" t="str">
        <f>"O-15-1006"</f>
        <v>O-15-1006</v>
      </c>
      <c r="D376" s="15" t="str">
        <f t="shared" si="12"/>
        <v>HEP-OPSKRBA D.O.O.</v>
      </c>
      <c r="E376" s="16">
        <v>42038</v>
      </c>
      <c r="F376" s="16">
        <v>42429</v>
      </c>
      <c r="G376" s="13">
        <v>77013.399999999994</v>
      </c>
      <c r="H376" s="16">
        <v>42429</v>
      </c>
      <c r="I376" s="13">
        <v>43095.82</v>
      </c>
      <c r="J376" s="13">
        <f t="shared" si="13"/>
        <v>53869.775000000001</v>
      </c>
      <c r="K376" s="6"/>
    </row>
    <row r="377" spans="1:11" x14ac:dyDescent="0.25">
      <c r="A377" s="3">
        <v>192</v>
      </c>
      <c r="B377" s="14" t="s">
        <v>546</v>
      </c>
      <c r="C377" s="15" t="str">
        <f>"O-15-560"</f>
        <v>O-15-560</v>
      </c>
      <c r="D377" s="15" t="str">
        <f t="shared" si="12"/>
        <v>HEP-OPSKRBA D.O.O.</v>
      </c>
      <c r="E377" s="16">
        <v>42062</v>
      </c>
      <c r="F377" s="16">
        <v>42429</v>
      </c>
      <c r="G377" s="13">
        <v>159800</v>
      </c>
      <c r="H377" s="16">
        <v>42429</v>
      </c>
      <c r="I377" s="13">
        <v>192770.64</v>
      </c>
      <c r="J377" s="13">
        <f t="shared" si="13"/>
        <v>240963.30000000002</v>
      </c>
      <c r="K377" s="6"/>
    </row>
    <row r="378" spans="1:11" ht="24" x14ac:dyDescent="0.25">
      <c r="A378" s="3">
        <v>193</v>
      </c>
      <c r="B378" s="14" t="s">
        <v>547</v>
      </c>
      <c r="C378" s="15" t="str">
        <f>"O-15-910"</f>
        <v>O-15-910</v>
      </c>
      <c r="D378" s="15" t="str">
        <f t="shared" si="12"/>
        <v>HEP-OPSKRBA D.O.O.</v>
      </c>
      <c r="E378" s="16">
        <v>42034</v>
      </c>
      <c r="F378" s="16">
        <v>42429</v>
      </c>
      <c r="G378" s="13">
        <v>7400.1</v>
      </c>
      <c r="H378" s="16">
        <v>42429</v>
      </c>
      <c r="I378" s="13">
        <v>14329.6</v>
      </c>
      <c r="J378" s="13">
        <f t="shared" si="13"/>
        <v>17912</v>
      </c>
      <c r="K378" s="6"/>
    </row>
    <row r="379" spans="1:11" ht="24" x14ac:dyDescent="0.25">
      <c r="A379" s="3">
        <v>194</v>
      </c>
      <c r="B379" s="14" t="s">
        <v>548</v>
      </c>
      <c r="C379" s="15" t="str">
        <f>"O-15-962"</f>
        <v>O-15-962</v>
      </c>
      <c r="D379" s="15" t="str">
        <f t="shared" si="12"/>
        <v>HEP-OPSKRBA D.O.O.</v>
      </c>
      <c r="E379" s="16">
        <v>42032</v>
      </c>
      <c r="F379" s="16">
        <v>42400</v>
      </c>
      <c r="G379" s="13">
        <v>0</v>
      </c>
      <c r="H379" s="16">
        <v>42400</v>
      </c>
      <c r="I379" s="13">
        <v>182066.87</v>
      </c>
      <c r="J379" s="13">
        <f t="shared" si="13"/>
        <v>227583.58749999999</v>
      </c>
      <c r="K379" s="6"/>
    </row>
    <row r="380" spans="1:11" ht="24" x14ac:dyDescent="0.25">
      <c r="A380" s="3">
        <v>195</v>
      </c>
      <c r="B380" s="14" t="s">
        <v>549</v>
      </c>
      <c r="C380" s="15" t="str">
        <f>"O-15-937"</f>
        <v>O-15-937</v>
      </c>
      <c r="D380" s="15" t="str">
        <f t="shared" si="12"/>
        <v>HEP-OPSKRBA D.O.O.</v>
      </c>
      <c r="E380" s="16">
        <v>42034</v>
      </c>
      <c r="F380" s="16">
        <v>42400</v>
      </c>
      <c r="G380" s="13">
        <v>14804.98</v>
      </c>
      <c r="H380" s="16">
        <v>42400</v>
      </c>
      <c r="I380" s="13">
        <v>14804.98</v>
      </c>
      <c r="J380" s="13">
        <f t="shared" si="13"/>
        <v>18506.224999999999</v>
      </c>
      <c r="K380" s="6"/>
    </row>
    <row r="381" spans="1:11" x14ac:dyDescent="0.25">
      <c r="A381" s="3">
        <v>196</v>
      </c>
      <c r="B381" s="14" t="s">
        <v>550</v>
      </c>
      <c r="C381" s="15" t="str">
        <f>"O-15-377"</f>
        <v>O-15-377</v>
      </c>
      <c r="D381" s="15" t="str">
        <f t="shared" si="12"/>
        <v>HEP-OPSKRBA D.O.O.</v>
      </c>
      <c r="E381" s="16">
        <v>42011</v>
      </c>
      <c r="F381" s="16">
        <v>42400</v>
      </c>
      <c r="G381" s="13">
        <v>31576.47</v>
      </c>
      <c r="H381" s="16">
        <v>42400</v>
      </c>
      <c r="I381" s="13">
        <v>31576.47</v>
      </c>
      <c r="J381" s="13">
        <f t="shared" si="13"/>
        <v>39470.587500000001</v>
      </c>
      <c r="K381" s="6"/>
    </row>
    <row r="382" spans="1:11" ht="24" x14ac:dyDescent="0.25">
      <c r="A382" s="3">
        <v>197</v>
      </c>
      <c r="B382" s="14" t="s">
        <v>551</v>
      </c>
      <c r="C382" s="15" t="str">
        <f>"O-15-961"</f>
        <v>O-15-961</v>
      </c>
      <c r="D382" s="15" t="str">
        <f t="shared" si="12"/>
        <v>HEP-OPSKRBA D.O.O.</v>
      </c>
      <c r="E382" s="16">
        <v>42034</v>
      </c>
      <c r="F382" s="16">
        <v>42400</v>
      </c>
      <c r="G382" s="13">
        <v>40612.58</v>
      </c>
      <c r="H382" s="16">
        <v>42400</v>
      </c>
      <c r="I382" s="13">
        <v>32089.78</v>
      </c>
      <c r="J382" s="13">
        <f t="shared" si="13"/>
        <v>40112.224999999999</v>
      </c>
      <c r="K382" s="6"/>
    </row>
    <row r="383" spans="1:11" ht="36" x14ac:dyDescent="0.25">
      <c r="A383" s="3">
        <v>198</v>
      </c>
      <c r="B383" s="14" t="s">
        <v>435</v>
      </c>
      <c r="C383" s="15" t="str">
        <f>"O-15-378"</f>
        <v>O-15-378</v>
      </c>
      <c r="D383" s="15" t="str">
        <f t="shared" si="12"/>
        <v>HEP-OPSKRBA D.O.O.</v>
      </c>
      <c r="E383" s="16">
        <v>42361</v>
      </c>
      <c r="F383" s="16">
        <v>42400</v>
      </c>
      <c r="G383" s="13">
        <v>35700</v>
      </c>
      <c r="H383" s="16">
        <v>42400</v>
      </c>
      <c r="I383" s="13">
        <v>58927.9</v>
      </c>
      <c r="J383" s="13">
        <f t="shared" si="13"/>
        <v>73659.875</v>
      </c>
      <c r="K383" s="6"/>
    </row>
    <row r="384" spans="1:11" x14ac:dyDescent="0.25">
      <c r="A384" s="3">
        <v>199</v>
      </c>
      <c r="B384" s="14" t="s">
        <v>552</v>
      </c>
      <c r="C384" s="15" t="str">
        <f>"O-15-981"</f>
        <v>O-15-981</v>
      </c>
      <c r="D384" s="15" t="str">
        <f t="shared" si="12"/>
        <v>HEP-OPSKRBA D.O.O.</v>
      </c>
      <c r="E384" s="16">
        <v>42034</v>
      </c>
      <c r="F384" s="16">
        <v>42400</v>
      </c>
      <c r="G384" s="13">
        <v>11398.5</v>
      </c>
      <c r="H384" s="16">
        <v>42400</v>
      </c>
      <c r="I384" s="13">
        <v>10530.46</v>
      </c>
      <c r="J384" s="13">
        <f t="shared" si="13"/>
        <v>13163.074999999999</v>
      </c>
      <c r="K384" s="6"/>
    </row>
    <row r="385" spans="1:11" ht="24" x14ac:dyDescent="0.25">
      <c r="A385" s="3">
        <v>200</v>
      </c>
      <c r="B385" s="14" t="s">
        <v>549</v>
      </c>
      <c r="C385" s="15" t="str">
        <f>"O-15-937"</f>
        <v>O-15-937</v>
      </c>
      <c r="D385" s="15" t="str">
        <f t="shared" si="12"/>
        <v>HEP-OPSKRBA D.O.O.</v>
      </c>
      <c r="E385" s="16">
        <v>42034</v>
      </c>
      <c r="F385" s="16">
        <v>42400</v>
      </c>
      <c r="G385" s="13">
        <v>8418.83</v>
      </c>
      <c r="H385" s="16">
        <v>42400</v>
      </c>
      <c r="I385" s="13">
        <v>14804.98</v>
      </c>
      <c r="J385" s="13">
        <f t="shared" si="13"/>
        <v>18506.224999999999</v>
      </c>
      <c r="K385" s="6"/>
    </row>
    <row r="386" spans="1:11" ht="24" x14ac:dyDescent="0.25">
      <c r="A386" s="3">
        <v>201</v>
      </c>
      <c r="B386" s="14" t="s">
        <v>300</v>
      </c>
      <c r="C386" s="15" t="str">
        <f>"O-15-944"</f>
        <v>O-15-944</v>
      </c>
      <c r="D386" s="15" t="str">
        <f t="shared" si="12"/>
        <v>HEP-OPSKRBA D.O.O.</v>
      </c>
      <c r="E386" s="16">
        <v>42382</v>
      </c>
      <c r="F386" s="16">
        <v>42400</v>
      </c>
      <c r="G386" s="13">
        <v>62475</v>
      </c>
      <c r="H386" s="16">
        <v>42400</v>
      </c>
      <c r="I386" s="13">
        <v>49905.63</v>
      </c>
      <c r="J386" s="13">
        <f t="shared" si="13"/>
        <v>62382.037499999999</v>
      </c>
      <c r="K386" s="6"/>
    </row>
    <row r="387" spans="1:11" ht="24" x14ac:dyDescent="0.25">
      <c r="A387" s="3">
        <v>202</v>
      </c>
      <c r="B387" s="14" t="s">
        <v>553</v>
      </c>
      <c r="C387" s="15" t="str">
        <f>"O-15-844"</f>
        <v>O-15-844</v>
      </c>
      <c r="D387" s="15" t="str">
        <f t="shared" si="12"/>
        <v>HEP-OPSKRBA D.O.O.</v>
      </c>
      <c r="E387" s="16">
        <v>42032</v>
      </c>
      <c r="F387" s="16">
        <v>42400</v>
      </c>
      <c r="G387" s="13">
        <v>10200</v>
      </c>
      <c r="H387" s="16">
        <v>42400</v>
      </c>
      <c r="I387" s="13">
        <v>18610.2</v>
      </c>
      <c r="J387" s="13">
        <f t="shared" si="13"/>
        <v>23262.75</v>
      </c>
      <c r="K387" s="6"/>
    </row>
    <row r="388" spans="1:11" ht="24" x14ac:dyDescent="0.25">
      <c r="A388" s="3">
        <v>203</v>
      </c>
      <c r="B388" s="14" t="s">
        <v>554</v>
      </c>
      <c r="C388" s="15" t="str">
        <f>"O-15-379"</f>
        <v>O-15-379</v>
      </c>
      <c r="D388" s="15" t="str">
        <f t="shared" si="12"/>
        <v>HEP-OPSKRBA D.O.O.</v>
      </c>
      <c r="E388" s="16">
        <v>42353</v>
      </c>
      <c r="F388" s="16">
        <v>42400</v>
      </c>
      <c r="G388" s="13">
        <v>68850</v>
      </c>
      <c r="H388" s="16">
        <v>42400</v>
      </c>
      <c r="I388" s="13">
        <v>54555.94</v>
      </c>
      <c r="J388" s="13">
        <f t="shared" si="13"/>
        <v>68194.925000000003</v>
      </c>
      <c r="K388" s="6"/>
    </row>
    <row r="389" spans="1:11" x14ac:dyDescent="0.25">
      <c r="A389" s="3">
        <v>204</v>
      </c>
      <c r="B389" s="14" t="s">
        <v>249</v>
      </c>
      <c r="C389" s="15" t="str">
        <f>"O-15-921"</f>
        <v>O-15-921</v>
      </c>
      <c r="D389" s="15" t="str">
        <f t="shared" si="12"/>
        <v>HEP-OPSKRBA D.O.O.</v>
      </c>
      <c r="E389" s="16">
        <v>42031</v>
      </c>
      <c r="F389" s="16">
        <v>42400</v>
      </c>
      <c r="G389" s="13">
        <v>15279.6</v>
      </c>
      <c r="H389" s="16">
        <v>42400</v>
      </c>
      <c r="I389" s="13">
        <v>12631.69</v>
      </c>
      <c r="J389" s="13">
        <f t="shared" si="13"/>
        <v>15789.612500000001</v>
      </c>
      <c r="K389" s="6"/>
    </row>
    <row r="390" spans="1:11" x14ac:dyDescent="0.25">
      <c r="A390" s="3">
        <v>205</v>
      </c>
      <c r="B390" s="14" t="s">
        <v>241</v>
      </c>
      <c r="C390" s="15" t="str">
        <f>"O-15-364"</f>
        <v>O-15-364</v>
      </c>
      <c r="D390" s="15" t="str">
        <f t="shared" si="12"/>
        <v>HEP-OPSKRBA D.O.O.</v>
      </c>
      <c r="E390" s="16">
        <v>42354</v>
      </c>
      <c r="F390" s="16">
        <v>42400</v>
      </c>
      <c r="G390" s="13">
        <v>20400</v>
      </c>
      <c r="H390" s="16">
        <v>42400</v>
      </c>
      <c r="I390" s="13">
        <v>26095.32</v>
      </c>
      <c r="J390" s="13">
        <f t="shared" si="13"/>
        <v>32619.15</v>
      </c>
      <c r="K390" s="6"/>
    </row>
    <row r="391" spans="1:11" ht="36" x14ac:dyDescent="0.25">
      <c r="A391" s="3">
        <v>206</v>
      </c>
      <c r="B391" s="14" t="s">
        <v>555</v>
      </c>
      <c r="C391" s="15" t="str">
        <f>"O-15-367"</f>
        <v>O-15-367</v>
      </c>
      <c r="D391" s="15" t="str">
        <f t="shared" si="12"/>
        <v>HEP-OPSKRBA D.O.O.</v>
      </c>
      <c r="E391" s="16">
        <v>42353</v>
      </c>
      <c r="F391" s="16">
        <v>42400</v>
      </c>
      <c r="G391" s="13">
        <v>58650</v>
      </c>
      <c r="H391" s="16">
        <v>42400</v>
      </c>
      <c r="I391" s="13">
        <v>55481.8</v>
      </c>
      <c r="J391" s="13">
        <f t="shared" si="13"/>
        <v>69352.25</v>
      </c>
      <c r="K391" s="6"/>
    </row>
    <row r="392" spans="1:11" ht="36" x14ac:dyDescent="0.25">
      <c r="A392" s="3">
        <v>207</v>
      </c>
      <c r="B392" s="14" t="s">
        <v>556</v>
      </c>
      <c r="C392" s="15" t="str">
        <f>"O-15-909"</f>
        <v>O-15-909</v>
      </c>
      <c r="D392" s="15" t="str">
        <f t="shared" si="12"/>
        <v>HEP-OPSKRBA D.O.O.</v>
      </c>
      <c r="E392" s="16">
        <v>42031</v>
      </c>
      <c r="F392" s="16">
        <v>42400</v>
      </c>
      <c r="G392" s="13">
        <v>39990.800000000003</v>
      </c>
      <c r="H392" s="16">
        <v>42400</v>
      </c>
      <c r="I392" s="13">
        <v>33169.760000000002</v>
      </c>
      <c r="J392" s="13">
        <f t="shared" si="13"/>
        <v>41462.200000000004</v>
      </c>
      <c r="K392" s="6"/>
    </row>
    <row r="393" spans="1:11" ht="24" x14ac:dyDescent="0.25">
      <c r="A393" s="3">
        <v>208</v>
      </c>
      <c r="B393" s="14" t="s">
        <v>557</v>
      </c>
      <c r="C393" s="15" t="str">
        <f>"O-15-923"</f>
        <v>O-15-923</v>
      </c>
      <c r="D393" s="15" t="str">
        <f t="shared" si="12"/>
        <v>HEP-OPSKRBA D.O.O.</v>
      </c>
      <c r="E393" s="16">
        <v>42034</v>
      </c>
      <c r="F393" s="16">
        <v>42400</v>
      </c>
      <c r="G393" s="13">
        <v>9206.35</v>
      </c>
      <c r="H393" s="16">
        <v>42400</v>
      </c>
      <c r="I393" s="13">
        <v>9206.35</v>
      </c>
      <c r="J393" s="13">
        <f t="shared" si="13"/>
        <v>11507.9375</v>
      </c>
      <c r="K393" s="6"/>
    </row>
    <row r="394" spans="1:11" ht="24" x14ac:dyDescent="0.25">
      <c r="A394" s="3">
        <v>209</v>
      </c>
      <c r="B394" s="14" t="s">
        <v>156</v>
      </c>
      <c r="C394" s="15" t="str">
        <f>"O-15-914"</f>
        <v>O-15-914</v>
      </c>
      <c r="D394" s="15" t="str">
        <f t="shared" si="12"/>
        <v>HEP-OPSKRBA D.O.O.</v>
      </c>
      <c r="E394" s="16">
        <v>42027</v>
      </c>
      <c r="F394" s="16">
        <v>42400</v>
      </c>
      <c r="G394" s="13">
        <v>91942.8</v>
      </c>
      <c r="H394" s="16">
        <v>42400</v>
      </c>
      <c r="I394" s="13">
        <v>67569.320000000007</v>
      </c>
      <c r="J394" s="13">
        <f t="shared" si="13"/>
        <v>84461.650000000009</v>
      </c>
      <c r="K394" s="6"/>
    </row>
    <row r="395" spans="1:11" ht="24" x14ac:dyDescent="0.25">
      <c r="A395" s="3">
        <v>210</v>
      </c>
      <c r="B395" s="14" t="s">
        <v>558</v>
      </c>
      <c r="C395" s="15" t="str">
        <f>"O-15-847"</f>
        <v>O-15-847</v>
      </c>
      <c r="D395" s="15" t="str">
        <f t="shared" si="12"/>
        <v>HEP-OPSKRBA D.O.O.</v>
      </c>
      <c r="E395" s="16">
        <v>42024</v>
      </c>
      <c r="F395" s="16">
        <v>42369</v>
      </c>
      <c r="G395" s="13">
        <v>5050.7</v>
      </c>
      <c r="H395" s="16">
        <v>42369</v>
      </c>
      <c r="I395" s="13">
        <v>4756.1000000000004</v>
      </c>
      <c r="J395" s="13">
        <f t="shared" si="13"/>
        <v>5945.125</v>
      </c>
      <c r="K395" s="6"/>
    </row>
    <row r="396" spans="1:11" ht="24" x14ac:dyDescent="0.25">
      <c r="A396" s="3">
        <v>211</v>
      </c>
      <c r="B396" s="14" t="s">
        <v>559</v>
      </c>
      <c r="C396" s="15" t="str">
        <f>"O-15-878"</f>
        <v>O-15-878</v>
      </c>
      <c r="D396" s="15" t="str">
        <f t="shared" si="12"/>
        <v>HEP-OPSKRBA D.O.O.</v>
      </c>
      <c r="E396" s="16">
        <v>42030</v>
      </c>
      <c r="F396" s="16">
        <v>42400</v>
      </c>
      <c r="G396" s="13">
        <v>57278.1</v>
      </c>
      <c r="H396" s="16">
        <v>42400</v>
      </c>
      <c r="I396" s="13">
        <v>57278.1</v>
      </c>
      <c r="J396" s="13">
        <f t="shared" si="13"/>
        <v>71597.625</v>
      </c>
      <c r="K396" s="6"/>
    </row>
    <row r="397" spans="1:11" x14ac:dyDescent="0.25">
      <c r="A397" s="3">
        <v>212</v>
      </c>
      <c r="B397" s="14" t="s">
        <v>292</v>
      </c>
      <c r="C397" s="15" t="str">
        <f>"O-15-965"</f>
        <v>O-15-965</v>
      </c>
      <c r="D397" s="15" t="str">
        <f t="shared" si="12"/>
        <v>HEP-OPSKRBA D.O.O.</v>
      </c>
      <c r="E397" s="16">
        <v>42032</v>
      </c>
      <c r="F397" s="16">
        <v>42400</v>
      </c>
      <c r="G397" s="13">
        <v>16075.2</v>
      </c>
      <c r="H397" s="16">
        <v>42400</v>
      </c>
      <c r="I397" s="13">
        <v>20633.13</v>
      </c>
      <c r="J397" s="13">
        <f t="shared" si="13"/>
        <v>25791.412500000002</v>
      </c>
      <c r="K397" s="6"/>
    </row>
    <row r="398" spans="1:11" ht="24" x14ac:dyDescent="0.25">
      <c r="A398" s="3">
        <v>213</v>
      </c>
      <c r="B398" s="14" t="s">
        <v>560</v>
      </c>
      <c r="C398" s="15" t="str">
        <f>"O-15-837"</f>
        <v>O-15-837</v>
      </c>
      <c r="D398" s="15" t="str">
        <f t="shared" si="12"/>
        <v>HEP-OPSKRBA D.O.O.</v>
      </c>
      <c r="E398" s="16">
        <v>42033</v>
      </c>
      <c r="F398" s="16">
        <v>42400</v>
      </c>
      <c r="G398" s="13">
        <v>24717.1</v>
      </c>
      <c r="H398" s="16">
        <v>42400</v>
      </c>
      <c r="I398" s="13">
        <v>24717.1</v>
      </c>
      <c r="J398" s="13">
        <f t="shared" si="13"/>
        <v>30896.375</v>
      </c>
      <c r="K398" s="6"/>
    </row>
    <row r="399" spans="1:11" ht="24" x14ac:dyDescent="0.25">
      <c r="A399" s="3">
        <v>214</v>
      </c>
      <c r="B399" s="14" t="s">
        <v>561</v>
      </c>
      <c r="C399" s="15" t="str">
        <f>"O-15-754"</f>
        <v>O-15-754</v>
      </c>
      <c r="D399" s="15" t="str">
        <f t="shared" si="12"/>
        <v>HEP-OPSKRBA D.O.O.</v>
      </c>
      <c r="E399" s="16">
        <v>42019</v>
      </c>
      <c r="F399" s="16">
        <v>42369</v>
      </c>
      <c r="G399" s="13">
        <v>47297</v>
      </c>
      <c r="H399" s="16">
        <v>42369</v>
      </c>
      <c r="I399" s="13">
        <v>47297</v>
      </c>
      <c r="J399" s="13">
        <f t="shared" si="13"/>
        <v>59121.25</v>
      </c>
      <c r="K399" s="6"/>
    </row>
    <row r="400" spans="1:11" ht="24" x14ac:dyDescent="0.25">
      <c r="A400" s="3">
        <v>215</v>
      </c>
      <c r="B400" s="14" t="s">
        <v>562</v>
      </c>
      <c r="C400" s="15" t="str">
        <f>"54-53/15"</f>
        <v>54-53/15</v>
      </c>
      <c r="D400" s="15" t="str">
        <f t="shared" si="12"/>
        <v>HEP-OPSKRBA D.O.O.</v>
      </c>
      <c r="E400" s="16">
        <v>42422</v>
      </c>
      <c r="F400" s="16"/>
      <c r="G400" s="13">
        <v>24000</v>
      </c>
      <c r="H400" s="16"/>
      <c r="I400" s="13">
        <v>15047.9</v>
      </c>
      <c r="J400" s="13">
        <f t="shared" si="13"/>
        <v>18809.875</v>
      </c>
      <c r="K400" s="6"/>
    </row>
    <row r="401" spans="1:11" ht="24" x14ac:dyDescent="0.25">
      <c r="A401" s="3">
        <v>216</v>
      </c>
      <c r="B401" s="14" t="s">
        <v>563</v>
      </c>
      <c r="C401" s="15" t="str">
        <f>"O-15-698"</f>
        <v>O-15-698</v>
      </c>
      <c r="D401" s="15" t="str">
        <f t="shared" si="12"/>
        <v>HEP-OPSKRBA D.O.O.</v>
      </c>
      <c r="E401" s="16">
        <v>42031</v>
      </c>
      <c r="F401" s="16">
        <v>42401</v>
      </c>
      <c r="G401" s="13">
        <v>50047.44</v>
      </c>
      <c r="H401" s="16">
        <v>42401</v>
      </c>
      <c r="I401" s="13">
        <v>50047.44</v>
      </c>
      <c r="J401" s="13">
        <f t="shared" si="13"/>
        <v>62559.3</v>
      </c>
      <c r="K401" s="6"/>
    </row>
    <row r="402" spans="1:11" ht="24" x14ac:dyDescent="0.25">
      <c r="A402" s="3">
        <v>217</v>
      </c>
      <c r="B402" s="14" t="s">
        <v>564</v>
      </c>
      <c r="C402" s="15" t="str">
        <f>"O-15-799"</f>
        <v>O-15-799</v>
      </c>
      <c r="D402" s="15" t="str">
        <f t="shared" si="12"/>
        <v>HEP-OPSKRBA D.O.O.</v>
      </c>
      <c r="E402" s="16">
        <v>42026</v>
      </c>
      <c r="F402" s="16">
        <v>42401</v>
      </c>
      <c r="G402" s="13">
        <v>102000</v>
      </c>
      <c r="H402" s="16">
        <v>42401</v>
      </c>
      <c r="I402" s="40">
        <v>0</v>
      </c>
      <c r="J402" s="40">
        <f t="shared" si="13"/>
        <v>0</v>
      </c>
      <c r="K402" s="6"/>
    </row>
    <row r="403" spans="1:11" ht="24" x14ac:dyDescent="0.25">
      <c r="A403" s="3">
        <v>218</v>
      </c>
      <c r="B403" s="14" t="s">
        <v>565</v>
      </c>
      <c r="C403" s="15" t="str">
        <f>"0-15-715"</f>
        <v>0-15-715</v>
      </c>
      <c r="D403" s="15" t="str">
        <f t="shared" ref="D403:D463" si="14">CONCATENATE("HEP-OPSKRBA D.O.O.")</f>
        <v>HEP-OPSKRBA D.O.O.</v>
      </c>
      <c r="E403" s="16">
        <v>42017</v>
      </c>
      <c r="F403" s="16">
        <v>42400</v>
      </c>
      <c r="G403" s="13">
        <v>209023.49</v>
      </c>
      <c r="H403" s="16">
        <v>42400</v>
      </c>
      <c r="I403" s="13">
        <v>172511.62</v>
      </c>
      <c r="J403" s="13">
        <f t="shared" si="13"/>
        <v>215639.52499999999</v>
      </c>
      <c r="K403" s="6"/>
    </row>
    <row r="404" spans="1:11" ht="24" x14ac:dyDescent="0.25">
      <c r="A404" s="3">
        <v>219</v>
      </c>
      <c r="B404" s="14" t="s">
        <v>566</v>
      </c>
      <c r="C404" s="15" t="str">
        <f>"O-15-971"</f>
        <v>O-15-971</v>
      </c>
      <c r="D404" s="15" t="str">
        <f t="shared" si="14"/>
        <v>HEP-OPSKRBA D.O.O.</v>
      </c>
      <c r="E404" s="16">
        <v>42034</v>
      </c>
      <c r="F404" s="16">
        <v>42400</v>
      </c>
      <c r="G404" s="13">
        <v>23192.68</v>
      </c>
      <c r="H404" s="16">
        <v>42400</v>
      </c>
      <c r="I404" s="13">
        <v>69659.210000000006</v>
      </c>
      <c r="J404" s="13">
        <f t="shared" si="13"/>
        <v>87074.012500000012</v>
      </c>
      <c r="K404" s="6"/>
    </row>
    <row r="405" spans="1:11" x14ac:dyDescent="0.25">
      <c r="A405" s="3">
        <v>220</v>
      </c>
      <c r="B405" s="14" t="s">
        <v>567</v>
      </c>
      <c r="C405" s="15" t="str">
        <f>"O-15-719"</f>
        <v>O-15-719</v>
      </c>
      <c r="D405" s="15" t="str">
        <f t="shared" si="14"/>
        <v>HEP-OPSKRBA D.O.O.</v>
      </c>
      <c r="E405" s="16">
        <v>42017</v>
      </c>
      <c r="F405" s="16">
        <v>42400</v>
      </c>
      <c r="G405" s="13">
        <v>25862.1</v>
      </c>
      <c r="H405" s="16">
        <v>42400</v>
      </c>
      <c r="I405" s="13">
        <v>24450.15</v>
      </c>
      <c r="J405" s="13">
        <f t="shared" si="13"/>
        <v>30562.6875</v>
      </c>
      <c r="K405" s="6"/>
    </row>
    <row r="406" spans="1:11" ht="36" x14ac:dyDescent="0.25">
      <c r="A406" s="3">
        <v>221</v>
      </c>
      <c r="B406" s="14" t="s">
        <v>568</v>
      </c>
      <c r="C406" s="15" t="str">
        <f>"O-15-920"</f>
        <v>O-15-920</v>
      </c>
      <c r="D406" s="15" t="str">
        <f t="shared" si="14"/>
        <v>HEP-OPSKRBA D.O.O.</v>
      </c>
      <c r="E406" s="16">
        <v>42027</v>
      </c>
      <c r="F406" s="16">
        <v>42400</v>
      </c>
      <c r="G406" s="13">
        <v>39437.449999999997</v>
      </c>
      <c r="H406" s="16">
        <v>42400</v>
      </c>
      <c r="I406" s="13">
        <v>37836.46</v>
      </c>
      <c r="J406" s="13">
        <f t="shared" si="13"/>
        <v>47295.574999999997</v>
      </c>
      <c r="K406" s="6"/>
    </row>
    <row r="407" spans="1:11" ht="24" x14ac:dyDescent="0.25">
      <c r="A407" s="3">
        <v>222</v>
      </c>
      <c r="B407" s="14" t="s">
        <v>569</v>
      </c>
      <c r="C407" s="15" t="str">
        <f>"O-15-371"</f>
        <v>O-15-371</v>
      </c>
      <c r="D407" s="15" t="str">
        <f t="shared" si="14"/>
        <v>HEP-OPSKRBA D.O.O.</v>
      </c>
      <c r="E407" s="16">
        <v>42360</v>
      </c>
      <c r="F407" s="16">
        <v>42400</v>
      </c>
      <c r="G407" s="13">
        <v>13260</v>
      </c>
      <c r="H407" s="16">
        <v>42400</v>
      </c>
      <c r="I407" s="13">
        <v>7903.41</v>
      </c>
      <c r="J407" s="13">
        <f t="shared" si="13"/>
        <v>9879.2625000000007</v>
      </c>
      <c r="K407" s="6"/>
    </row>
    <row r="408" spans="1:11" ht="36" x14ac:dyDescent="0.25">
      <c r="A408" s="3">
        <v>223</v>
      </c>
      <c r="B408" s="14" t="s">
        <v>570</v>
      </c>
      <c r="C408" s="15" t="str">
        <f>"O-15-372"</f>
        <v>O-15-372</v>
      </c>
      <c r="D408" s="15" t="str">
        <f t="shared" si="14"/>
        <v>HEP-OPSKRBA D.O.O.</v>
      </c>
      <c r="E408" s="16">
        <v>42360</v>
      </c>
      <c r="F408" s="16">
        <v>42400</v>
      </c>
      <c r="G408" s="13">
        <v>27540</v>
      </c>
      <c r="H408" s="16">
        <v>42400</v>
      </c>
      <c r="I408" s="13">
        <v>16313</v>
      </c>
      <c r="J408" s="13">
        <f t="shared" si="13"/>
        <v>20391.25</v>
      </c>
      <c r="K408" s="6"/>
    </row>
    <row r="409" spans="1:11" ht="24" x14ac:dyDescent="0.25">
      <c r="A409" s="3">
        <v>224</v>
      </c>
      <c r="B409" s="14" t="s">
        <v>571</v>
      </c>
      <c r="C409" s="15" t="str">
        <f>"O-15-942"</f>
        <v>O-15-942</v>
      </c>
      <c r="D409" s="15" t="str">
        <f t="shared" si="14"/>
        <v>HEP-OPSKRBA D.O.O.</v>
      </c>
      <c r="E409" s="16">
        <v>42032</v>
      </c>
      <c r="F409" s="16">
        <v>42400</v>
      </c>
      <c r="G409" s="13">
        <v>4964</v>
      </c>
      <c r="H409" s="16">
        <v>42400</v>
      </c>
      <c r="I409" s="13">
        <v>4488.3900000000003</v>
      </c>
      <c r="J409" s="13">
        <f t="shared" si="13"/>
        <v>5610.4875000000002</v>
      </c>
      <c r="K409" s="6"/>
    </row>
    <row r="410" spans="1:11" x14ac:dyDescent="0.25">
      <c r="A410" s="3">
        <v>225</v>
      </c>
      <c r="B410" s="14" t="s">
        <v>163</v>
      </c>
      <c r="C410" s="15" t="str">
        <f>"O-15-800"</f>
        <v>O-15-800</v>
      </c>
      <c r="D410" s="15" t="str">
        <f t="shared" si="14"/>
        <v>HEP-OPSKRBA D.O.O.</v>
      </c>
      <c r="E410" s="16">
        <v>42030</v>
      </c>
      <c r="F410" s="16">
        <v>42400</v>
      </c>
      <c r="G410" s="13">
        <v>16815.55</v>
      </c>
      <c r="H410" s="16">
        <v>42400</v>
      </c>
      <c r="I410" s="13">
        <v>40467.24</v>
      </c>
      <c r="J410" s="13">
        <f t="shared" si="13"/>
        <v>50584.049999999996</v>
      </c>
      <c r="K410" s="6"/>
    </row>
    <row r="411" spans="1:11" ht="24" x14ac:dyDescent="0.25">
      <c r="A411" s="3">
        <v>226</v>
      </c>
      <c r="B411" s="14" t="s">
        <v>367</v>
      </c>
      <c r="C411" s="15" t="str">
        <f>"O-15-918"</f>
        <v>O-15-918</v>
      </c>
      <c r="D411" s="15" t="str">
        <f t="shared" si="14"/>
        <v>HEP-OPSKRBA D.O.O.</v>
      </c>
      <c r="E411" s="16">
        <v>42034</v>
      </c>
      <c r="F411" s="16">
        <v>42400</v>
      </c>
      <c r="G411" s="13">
        <v>62305</v>
      </c>
      <c r="H411" s="16">
        <v>42400</v>
      </c>
      <c r="I411" s="13">
        <v>25051.18</v>
      </c>
      <c r="J411" s="13">
        <f t="shared" si="13"/>
        <v>31313.974999999999</v>
      </c>
      <c r="K411" s="6"/>
    </row>
    <row r="412" spans="1:11" ht="24" x14ac:dyDescent="0.25">
      <c r="A412" s="3">
        <v>227</v>
      </c>
      <c r="B412" s="14" t="s">
        <v>572</v>
      </c>
      <c r="C412" s="15" t="str">
        <f>"O-15-373"</f>
        <v>O-15-373</v>
      </c>
      <c r="D412" s="15" t="str">
        <f t="shared" si="14"/>
        <v>HEP-OPSKRBA D.O.O.</v>
      </c>
      <c r="E412" s="16">
        <v>42353</v>
      </c>
      <c r="F412" s="16">
        <v>42400</v>
      </c>
      <c r="G412" s="13">
        <v>53613.75</v>
      </c>
      <c r="H412" s="16">
        <v>42400</v>
      </c>
      <c r="I412" s="40">
        <v>0</v>
      </c>
      <c r="J412" s="40">
        <f t="shared" si="13"/>
        <v>0</v>
      </c>
      <c r="K412" s="6"/>
    </row>
    <row r="413" spans="1:11" ht="24" x14ac:dyDescent="0.25">
      <c r="A413" s="3">
        <v>228</v>
      </c>
      <c r="B413" s="14" t="s">
        <v>573</v>
      </c>
      <c r="C413" s="15" t="str">
        <f>"O-15-712"</f>
        <v>O-15-712</v>
      </c>
      <c r="D413" s="15" t="str">
        <f t="shared" si="14"/>
        <v>HEP-OPSKRBA D.O.O.</v>
      </c>
      <c r="E413" s="16">
        <v>42017</v>
      </c>
      <c r="F413" s="16">
        <v>42400</v>
      </c>
      <c r="G413" s="13">
        <v>41044.800000000003</v>
      </c>
      <c r="H413" s="16">
        <v>42400</v>
      </c>
      <c r="I413" s="13">
        <v>41044.800000000003</v>
      </c>
      <c r="J413" s="13">
        <f t="shared" si="13"/>
        <v>51306</v>
      </c>
      <c r="K413" s="6"/>
    </row>
    <row r="414" spans="1:11" ht="24" x14ac:dyDescent="0.25">
      <c r="A414" s="3">
        <v>229</v>
      </c>
      <c r="B414" s="14" t="s">
        <v>574</v>
      </c>
      <c r="C414" s="15" t="str">
        <f>"O-15-374"</f>
        <v>O-15-374</v>
      </c>
      <c r="D414" s="15" t="str">
        <f t="shared" si="14"/>
        <v>HEP-OPSKRBA D.O.O.</v>
      </c>
      <c r="E414" s="16">
        <v>42353</v>
      </c>
      <c r="F414" s="16">
        <v>42400</v>
      </c>
      <c r="G414" s="13">
        <v>49470</v>
      </c>
      <c r="H414" s="16">
        <v>42400</v>
      </c>
      <c r="I414" s="13">
        <v>47858.29</v>
      </c>
      <c r="J414" s="13">
        <f t="shared" si="13"/>
        <v>59822.862500000003</v>
      </c>
      <c r="K414" s="6"/>
    </row>
    <row r="415" spans="1:11" ht="24" x14ac:dyDescent="0.25">
      <c r="A415" s="3">
        <v>230</v>
      </c>
      <c r="B415" s="14" t="s">
        <v>575</v>
      </c>
      <c r="C415" s="15" t="str">
        <f>"O-15-989"</f>
        <v>O-15-989</v>
      </c>
      <c r="D415" s="15" t="str">
        <f t="shared" si="14"/>
        <v>HEP-OPSKRBA D.O.O.</v>
      </c>
      <c r="E415" s="16">
        <v>42034</v>
      </c>
      <c r="F415" s="16">
        <v>42400</v>
      </c>
      <c r="G415" s="13">
        <v>111088.2</v>
      </c>
      <c r="H415" s="16">
        <v>42400</v>
      </c>
      <c r="I415" s="13">
        <v>92990.07</v>
      </c>
      <c r="J415" s="13">
        <f t="shared" si="13"/>
        <v>116237.58750000001</v>
      </c>
      <c r="K415" s="6"/>
    </row>
    <row r="416" spans="1:11" ht="24" x14ac:dyDescent="0.25">
      <c r="A416" s="3">
        <v>231</v>
      </c>
      <c r="B416" s="14" t="s">
        <v>304</v>
      </c>
      <c r="C416" s="15" t="str">
        <f>"O-15-845"</f>
        <v>O-15-845</v>
      </c>
      <c r="D416" s="15" t="str">
        <f t="shared" si="14"/>
        <v>HEP-OPSKRBA D.O.O.</v>
      </c>
      <c r="E416" s="16">
        <v>42025</v>
      </c>
      <c r="F416" s="16">
        <v>42400</v>
      </c>
      <c r="G416" s="13">
        <v>48909</v>
      </c>
      <c r="H416" s="16">
        <v>42400</v>
      </c>
      <c r="I416" s="13">
        <v>54363.71</v>
      </c>
      <c r="J416" s="13">
        <f t="shared" si="13"/>
        <v>67954.637499999997</v>
      </c>
      <c r="K416" s="6"/>
    </row>
    <row r="417" spans="1:11" x14ac:dyDescent="0.25">
      <c r="A417" s="3">
        <v>232</v>
      </c>
      <c r="B417" s="14" t="s">
        <v>237</v>
      </c>
      <c r="C417" s="15" t="str">
        <f>"O-15-939"</f>
        <v>O-15-939</v>
      </c>
      <c r="D417" s="15" t="str">
        <f t="shared" si="14"/>
        <v>HEP-OPSKRBA D.O.O.</v>
      </c>
      <c r="E417" s="16">
        <v>42032</v>
      </c>
      <c r="F417" s="16">
        <v>42400</v>
      </c>
      <c r="G417" s="13">
        <v>7485.1</v>
      </c>
      <c r="H417" s="16">
        <v>42400</v>
      </c>
      <c r="I417" s="13">
        <v>6080.67</v>
      </c>
      <c r="J417" s="13">
        <f t="shared" si="13"/>
        <v>7600.8374999999996</v>
      </c>
      <c r="K417" s="6"/>
    </row>
    <row r="418" spans="1:11" ht="24" x14ac:dyDescent="0.25">
      <c r="A418" s="3">
        <v>233</v>
      </c>
      <c r="B418" s="14" t="s">
        <v>576</v>
      </c>
      <c r="C418" s="15" t="str">
        <f>"O-15-877"</f>
        <v>O-15-877</v>
      </c>
      <c r="D418" s="15" t="str">
        <f t="shared" si="14"/>
        <v>HEP-OPSKRBA D.O.O.</v>
      </c>
      <c r="E418" s="16">
        <v>42030</v>
      </c>
      <c r="F418" s="16">
        <v>42400</v>
      </c>
      <c r="G418" s="13">
        <v>3891.3</v>
      </c>
      <c r="H418" s="16">
        <v>42400</v>
      </c>
      <c r="I418" s="13">
        <v>7498.34</v>
      </c>
      <c r="J418" s="13">
        <f t="shared" si="13"/>
        <v>9372.9249999999993</v>
      </c>
      <c r="K418" s="6"/>
    </row>
    <row r="419" spans="1:11" x14ac:dyDescent="0.25">
      <c r="A419" s="3">
        <v>234</v>
      </c>
      <c r="B419" s="14" t="s">
        <v>293</v>
      </c>
      <c r="C419" s="15" t="str">
        <f>"O-15-949"</f>
        <v>O-15-949</v>
      </c>
      <c r="D419" s="15" t="str">
        <f t="shared" si="14"/>
        <v>HEP-OPSKRBA D.O.O.</v>
      </c>
      <c r="E419" s="16">
        <v>42032</v>
      </c>
      <c r="F419" s="16">
        <v>42400</v>
      </c>
      <c r="G419" s="13">
        <v>11031.3</v>
      </c>
      <c r="H419" s="16">
        <v>42400</v>
      </c>
      <c r="I419" s="13">
        <v>10225.42</v>
      </c>
      <c r="J419" s="13">
        <f t="shared" si="13"/>
        <v>12781.775</v>
      </c>
      <c r="K419" s="6"/>
    </row>
    <row r="420" spans="1:11" ht="24" x14ac:dyDescent="0.25">
      <c r="A420" s="3">
        <v>235</v>
      </c>
      <c r="B420" s="14" t="s">
        <v>577</v>
      </c>
      <c r="C420" s="15" t="str">
        <f>"O-15-375"</f>
        <v>O-15-375</v>
      </c>
      <c r="D420" s="15" t="str">
        <f t="shared" si="14"/>
        <v>HEP-OPSKRBA D.O.O.</v>
      </c>
      <c r="E420" s="16">
        <v>42356</v>
      </c>
      <c r="F420" s="16">
        <v>42400</v>
      </c>
      <c r="G420" s="13">
        <v>5610</v>
      </c>
      <c r="H420" s="16">
        <v>42400</v>
      </c>
      <c r="I420" s="13">
        <v>4447.62</v>
      </c>
      <c r="J420" s="13">
        <f t="shared" si="13"/>
        <v>5559.5249999999996</v>
      </c>
      <c r="K420" s="6"/>
    </row>
    <row r="421" spans="1:11" x14ac:dyDescent="0.25">
      <c r="A421" s="3">
        <v>236</v>
      </c>
      <c r="B421" s="14" t="s">
        <v>578</v>
      </c>
      <c r="C421" s="15" t="str">
        <f>"O-15-893"</f>
        <v>O-15-893</v>
      </c>
      <c r="D421" s="15" t="str">
        <f t="shared" si="14"/>
        <v>HEP-OPSKRBA D.O.O.</v>
      </c>
      <c r="E421" s="16">
        <v>42032</v>
      </c>
      <c r="F421" s="16">
        <v>42400</v>
      </c>
      <c r="G421" s="13">
        <v>71400</v>
      </c>
      <c r="H421" s="16">
        <v>42400</v>
      </c>
      <c r="I421" s="13">
        <v>60754.74</v>
      </c>
      <c r="J421" s="13">
        <f t="shared" si="13"/>
        <v>75943.425000000003</v>
      </c>
      <c r="K421" s="6"/>
    </row>
    <row r="422" spans="1:11" ht="24" x14ac:dyDescent="0.25">
      <c r="A422" s="3">
        <v>237</v>
      </c>
      <c r="B422" s="14" t="s">
        <v>579</v>
      </c>
      <c r="C422" s="15" t="str">
        <f>"O-15-680"</f>
        <v>O-15-680</v>
      </c>
      <c r="D422" s="15" t="str">
        <f t="shared" si="14"/>
        <v>HEP-OPSKRBA D.O.O.</v>
      </c>
      <c r="E422" s="16">
        <v>42016</v>
      </c>
      <c r="F422" s="16">
        <v>42400</v>
      </c>
      <c r="G422" s="13">
        <v>28560</v>
      </c>
      <c r="H422" s="16">
        <v>42400</v>
      </c>
      <c r="I422" s="13">
        <v>19983.04</v>
      </c>
      <c r="J422" s="13">
        <f t="shared" si="13"/>
        <v>24978.800000000003</v>
      </c>
      <c r="K422" s="6"/>
    </row>
    <row r="423" spans="1:11" ht="24" x14ac:dyDescent="0.25">
      <c r="A423" s="3">
        <v>238</v>
      </c>
      <c r="B423" s="14" t="s">
        <v>250</v>
      </c>
      <c r="C423" s="15" t="str">
        <f>"O-15-790"</f>
        <v>O-15-790</v>
      </c>
      <c r="D423" s="15" t="str">
        <f t="shared" si="14"/>
        <v>HEP-OPSKRBA D.O.O.</v>
      </c>
      <c r="E423" s="16">
        <v>42033</v>
      </c>
      <c r="F423" s="16">
        <v>42400</v>
      </c>
      <c r="G423" s="13">
        <v>102190.39999999999</v>
      </c>
      <c r="H423" s="16">
        <v>42400</v>
      </c>
      <c r="I423" s="13">
        <v>100388.36</v>
      </c>
      <c r="J423" s="13">
        <f t="shared" si="13"/>
        <v>125485.45</v>
      </c>
      <c r="K423" s="6"/>
    </row>
    <row r="424" spans="1:11" ht="24" x14ac:dyDescent="0.25">
      <c r="A424" s="3">
        <v>239</v>
      </c>
      <c r="B424" s="14" t="s">
        <v>580</v>
      </c>
      <c r="C424" s="15" t="str">
        <f>"O-15-376"</f>
        <v>O-15-376</v>
      </c>
      <c r="D424" s="15" t="str">
        <f t="shared" si="14"/>
        <v>HEP-OPSKRBA D.O.O.</v>
      </c>
      <c r="E424" s="16">
        <v>42373</v>
      </c>
      <c r="F424" s="16">
        <v>42400</v>
      </c>
      <c r="G424" s="13">
        <v>5100</v>
      </c>
      <c r="H424" s="16">
        <v>42400</v>
      </c>
      <c r="I424" s="13">
        <v>4946.01</v>
      </c>
      <c r="J424" s="13">
        <f t="shared" si="13"/>
        <v>6182.5125000000007</v>
      </c>
      <c r="K424" s="6"/>
    </row>
    <row r="425" spans="1:11" ht="24" x14ac:dyDescent="0.25">
      <c r="A425" s="3">
        <v>240</v>
      </c>
      <c r="B425" s="14" t="s">
        <v>581</v>
      </c>
      <c r="C425" s="15" t="str">
        <f>"O-15-721"</f>
        <v>O-15-721</v>
      </c>
      <c r="D425" s="15" t="str">
        <f t="shared" si="14"/>
        <v>HEP-OPSKRBA D.O.O.</v>
      </c>
      <c r="E425" s="16">
        <v>42026</v>
      </c>
      <c r="F425" s="16">
        <v>42400</v>
      </c>
      <c r="G425" s="13">
        <v>16258.8</v>
      </c>
      <c r="H425" s="16">
        <v>42400</v>
      </c>
      <c r="I425" s="13">
        <v>15631.9</v>
      </c>
      <c r="J425" s="13">
        <f t="shared" si="13"/>
        <v>19539.875</v>
      </c>
      <c r="K425" s="6"/>
    </row>
    <row r="426" spans="1:11" x14ac:dyDescent="0.25">
      <c r="A426" s="3">
        <v>241</v>
      </c>
      <c r="B426" s="14" t="s">
        <v>239</v>
      </c>
      <c r="C426" s="15" t="str">
        <f>"O-15-896"</f>
        <v>O-15-896</v>
      </c>
      <c r="D426" s="15" t="str">
        <f t="shared" si="14"/>
        <v>HEP-OPSKRBA D.O.O.</v>
      </c>
      <c r="E426" s="16">
        <v>42033</v>
      </c>
      <c r="F426" s="16">
        <v>42400</v>
      </c>
      <c r="G426" s="13">
        <v>26912.28</v>
      </c>
      <c r="H426" s="16">
        <v>42400</v>
      </c>
      <c r="I426" s="13">
        <v>33648</v>
      </c>
      <c r="J426" s="13">
        <f t="shared" si="13"/>
        <v>42060</v>
      </c>
      <c r="K426" s="6"/>
    </row>
    <row r="427" spans="1:11" x14ac:dyDescent="0.25">
      <c r="A427" s="3">
        <v>242</v>
      </c>
      <c r="B427" s="14" t="s">
        <v>582</v>
      </c>
      <c r="C427" s="15" t="str">
        <f>"O-15-941"</f>
        <v>O-15-941</v>
      </c>
      <c r="D427" s="15" t="str">
        <f t="shared" si="14"/>
        <v>HEP-OPSKRBA D.O.O.</v>
      </c>
      <c r="E427" s="16">
        <v>42032</v>
      </c>
      <c r="F427" s="16">
        <v>42400</v>
      </c>
      <c r="G427" s="13">
        <v>110925</v>
      </c>
      <c r="H427" s="16">
        <v>42400</v>
      </c>
      <c r="I427" s="40">
        <v>0</v>
      </c>
      <c r="J427" s="40">
        <f t="shared" si="13"/>
        <v>0</v>
      </c>
      <c r="K427" s="6"/>
    </row>
    <row r="428" spans="1:11" ht="24" x14ac:dyDescent="0.25">
      <c r="A428" s="3">
        <v>243</v>
      </c>
      <c r="B428" s="14" t="s">
        <v>583</v>
      </c>
      <c r="C428" s="15" t="str">
        <f>"O-15-912"</f>
        <v>O-15-912</v>
      </c>
      <c r="D428" s="15" t="str">
        <f t="shared" si="14"/>
        <v>HEP-OPSKRBA D.O.O.</v>
      </c>
      <c r="E428" s="16">
        <v>42031</v>
      </c>
      <c r="F428" s="16">
        <v>42400</v>
      </c>
      <c r="G428" s="13">
        <v>10174.5</v>
      </c>
      <c r="H428" s="16">
        <v>42400</v>
      </c>
      <c r="I428" s="13">
        <v>20807.11</v>
      </c>
      <c r="J428" s="13">
        <f t="shared" si="13"/>
        <v>26008.887500000001</v>
      </c>
      <c r="K428" s="6"/>
    </row>
    <row r="429" spans="1:11" x14ac:dyDescent="0.25">
      <c r="A429" s="3">
        <v>244</v>
      </c>
      <c r="B429" s="14" t="s">
        <v>288</v>
      </c>
      <c r="C429" s="15" t="str">
        <f>"O-15-701"</f>
        <v>O-15-701</v>
      </c>
      <c r="D429" s="15" t="str">
        <f t="shared" si="14"/>
        <v>HEP-OPSKRBA D.O.O.</v>
      </c>
      <c r="E429" s="16">
        <v>42017</v>
      </c>
      <c r="F429" s="16">
        <v>42400</v>
      </c>
      <c r="G429" s="13">
        <v>83252.399999999994</v>
      </c>
      <c r="H429" s="16">
        <v>42400</v>
      </c>
      <c r="I429" s="13">
        <v>79017.03</v>
      </c>
      <c r="J429" s="13">
        <f t="shared" si="13"/>
        <v>98771.287500000006</v>
      </c>
      <c r="K429" s="6"/>
    </row>
    <row r="430" spans="1:11" ht="24" x14ac:dyDescent="0.25">
      <c r="A430" s="3">
        <v>245</v>
      </c>
      <c r="B430" s="14" t="s">
        <v>584</v>
      </c>
      <c r="C430" s="15" t="str">
        <f>"O-15-808"</f>
        <v>O-15-808</v>
      </c>
      <c r="D430" s="15" t="str">
        <f t="shared" si="14"/>
        <v>HEP-OPSKRBA D.O.O.</v>
      </c>
      <c r="E430" s="16">
        <v>42025</v>
      </c>
      <c r="F430" s="16">
        <v>42400</v>
      </c>
      <c r="G430" s="13">
        <v>168723.3</v>
      </c>
      <c r="H430" s="16">
        <v>42400</v>
      </c>
      <c r="I430" s="13">
        <v>151941</v>
      </c>
      <c r="J430" s="13">
        <f t="shared" si="13"/>
        <v>189926.25</v>
      </c>
      <c r="K430" s="6"/>
    </row>
    <row r="431" spans="1:11" x14ac:dyDescent="0.25">
      <c r="A431" s="3">
        <v>246</v>
      </c>
      <c r="B431" s="14" t="s">
        <v>585</v>
      </c>
      <c r="C431" s="15" t="str">
        <f>"O-15-846"</f>
        <v>O-15-846</v>
      </c>
      <c r="D431" s="15" t="str">
        <f t="shared" si="14"/>
        <v>HEP-OPSKRBA D.O.O.</v>
      </c>
      <c r="E431" s="16">
        <v>42034</v>
      </c>
      <c r="F431" s="16">
        <v>42400</v>
      </c>
      <c r="G431" s="13">
        <v>2958</v>
      </c>
      <c r="H431" s="16">
        <v>42400</v>
      </c>
      <c r="I431" s="40">
        <v>0</v>
      </c>
      <c r="J431" s="40">
        <f t="shared" si="13"/>
        <v>0</v>
      </c>
      <c r="K431" s="6"/>
    </row>
    <row r="432" spans="1:11" ht="36" x14ac:dyDescent="0.25">
      <c r="A432" s="3">
        <v>247</v>
      </c>
      <c r="B432" s="14" t="s">
        <v>305</v>
      </c>
      <c r="C432" s="15" t="str">
        <f>"O-15-977"</f>
        <v>O-15-977</v>
      </c>
      <c r="D432" s="15" t="str">
        <f t="shared" si="14"/>
        <v>HEP-OPSKRBA D.O.O.</v>
      </c>
      <c r="E432" s="16">
        <v>42033</v>
      </c>
      <c r="F432" s="16">
        <v>42400</v>
      </c>
      <c r="G432" s="13">
        <v>66784.5</v>
      </c>
      <c r="H432" s="16">
        <v>42400</v>
      </c>
      <c r="I432" s="13">
        <v>52878.73</v>
      </c>
      <c r="J432" s="13">
        <f t="shared" si="13"/>
        <v>66098.412500000006</v>
      </c>
      <c r="K432" s="6"/>
    </row>
    <row r="433" spans="1:11" ht="24" x14ac:dyDescent="0.25">
      <c r="A433" s="3">
        <v>248</v>
      </c>
      <c r="B433" s="14" t="s">
        <v>299</v>
      </c>
      <c r="C433" s="15" t="str">
        <f>"O-15-706"</f>
        <v>O-15-706</v>
      </c>
      <c r="D433" s="15" t="str">
        <f t="shared" si="14"/>
        <v>HEP-OPSKRBA D.O.O.</v>
      </c>
      <c r="E433" s="16">
        <v>42030</v>
      </c>
      <c r="F433" s="16">
        <v>42400</v>
      </c>
      <c r="G433" s="13">
        <v>23847.599999999999</v>
      </c>
      <c r="H433" s="16">
        <v>42400</v>
      </c>
      <c r="I433" s="13">
        <v>0</v>
      </c>
      <c r="J433" s="13">
        <f t="shared" si="13"/>
        <v>0</v>
      </c>
      <c r="K433" s="6"/>
    </row>
    <row r="434" spans="1:11" x14ac:dyDescent="0.25">
      <c r="A434" s="3">
        <v>249</v>
      </c>
      <c r="B434" s="14" t="s">
        <v>586</v>
      </c>
      <c r="C434" s="15" t="str">
        <f>"O-15-874"</f>
        <v>O-15-874</v>
      </c>
      <c r="D434" s="15" t="str">
        <f t="shared" si="14"/>
        <v>HEP-OPSKRBA D.O.O.</v>
      </c>
      <c r="E434" s="16">
        <v>42033</v>
      </c>
      <c r="F434" s="16">
        <v>42400</v>
      </c>
      <c r="G434" s="13">
        <v>5425.55</v>
      </c>
      <c r="H434" s="16">
        <v>42400</v>
      </c>
      <c r="I434" s="13">
        <v>3960</v>
      </c>
      <c r="J434" s="13">
        <f t="shared" si="13"/>
        <v>4950</v>
      </c>
      <c r="K434" s="6"/>
    </row>
    <row r="435" spans="1:11" ht="24" x14ac:dyDescent="0.25">
      <c r="A435" s="3">
        <v>250</v>
      </c>
      <c r="B435" s="14" t="s">
        <v>587</v>
      </c>
      <c r="C435" s="15" t="str">
        <f>"O-15-368"</f>
        <v>O-15-368</v>
      </c>
      <c r="D435" s="15" t="str">
        <f t="shared" si="14"/>
        <v>HEP-OPSKRBA D.O.O.</v>
      </c>
      <c r="E435" s="16">
        <v>42353</v>
      </c>
      <c r="F435" s="16">
        <v>42400</v>
      </c>
      <c r="G435" s="13">
        <v>5100</v>
      </c>
      <c r="H435" s="16">
        <v>42400</v>
      </c>
      <c r="I435" s="13">
        <v>4560.6899999999996</v>
      </c>
      <c r="J435" s="13">
        <f t="shared" ref="J435:J495" si="15">I435*1.25</f>
        <v>5700.8624999999993</v>
      </c>
      <c r="K435" s="6"/>
    </row>
    <row r="436" spans="1:11" ht="24" x14ac:dyDescent="0.25">
      <c r="A436" s="3">
        <v>251</v>
      </c>
      <c r="B436" s="14" t="s">
        <v>244</v>
      </c>
      <c r="C436" s="15" t="str">
        <f>"O-15-369"</f>
        <v>O-15-369</v>
      </c>
      <c r="D436" s="15" t="str">
        <f t="shared" si="14"/>
        <v>HEP-OPSKRBA D.O.O.</v>
      </c>
      <c r="E436" s="16">
        <v>42292</v>
      </c>
      <c r="F436" s="16">
        <v>42400</v>
      </c>
      <c r="G436" s="13">
        <v>3825</v>
      </c>
      <c r="H436" s="16">
        <v>42400</v>
      </c>
      <c r="I436" s="40">
        <v>0</v>
      </c>
      <c r="J436" s="40">
        <f t="shared" si="15"/>
        <v>0</v>
      </c>
      <c r="K436" s="6"/>
    </row>
    <row r="437" spans="1:11" x14ac:dyDescent="0.25">
      <c r="A437" s="3">
        <v>252</v>
      </c>
      <c r="B437" s="14" t="s">
        <v>588</v>
      </c>
      <c r="C437" s="15" t="str">
        <f>"O-15-724"</f>
        <v>O-15-724</v>
      </c>
      <c r="D437" s="15" t="str">
        <f t="shared" si="14"/>
        <v>HEP-OPSKRBA D.O.O.</v>
      </c>
      <c r="E437" s="16">
        <v>42034</v>
      </c>
      <c r="F437" s="16">
        <v>42400</v>
      </c>
      <c r="G437" s="13">
        <v>37561.5</v>
      </c>
      <c r="H437" s="16">
        <v>42400</v>
      </c>
      <c r="I437" s="40">
        <v>0</v>
      </c>
      <c r="J437" s="40">
        <f t="shared" si="15"/>
        <v>0</v>
      </c>
      <c r="K437" s="6"/>
    </row>
    <row r="438" spans="1:11" ht="24" x14ac:dyDescent="0.25">
      <c r="A438" s="3">
        <v>253</v>
      </c>
      <c r="B438" s="14" t="s">
        <v>589</v>
      </c>
      <c r="C438" s="15" t="str">
        <f>"O-15-899"</f>
        <v>O-15-899</v>
      </c>
      <c r="D438" s="15" t="str">
        <f t="shared" si="14"/>
        <v>HEP-OPSKRBA D.O.O.</v>
      </c>
      <c r="E438" s="16">
        <v>42027</v>
      </c>
      <c r="F438" s="16">
        <v>42400</v>
      </c>
      <c r="G438" s="13">
        <v>45604.2</v>
      </c>
      <c r="H438" s="16">
        <v>42400</v>
      </c>
      <c r="I438" s="13">
        <v>29147.33</v>
      </c>
      <c r="J438" s="13">
        <f t="shared" si="15"/>
        <v>36434.162500000006</v>
      </c>
      <c r="K438" s="6"/>
    </row>
    <row r="439" spans="1:11" ht="36" x14ac:dyDescent="0.25">
      <c r="A439" s="3">
        <v>254</v>
      </c>
      <c r="B439" s="14" t="s">
        <v>129</v>
      </c>
      <c r="C439" s="15" t="str">
        <f>"O-15-741"</f>
        <v>O-15-741</v>
      </c>
      <c r="D439" s="15" t="str">
        <f t="shared" si="14"/>
        <v>HEP-OPSKRBA D.O.O.</v>
      </c>
      <c r="E439" s="16">
        <v>42019</v>
      </c>
      <c r="F439" s="16">
        <v>42400</v>
      </c>
      <c r="G439" s="13">
        <v>51663</v>
      </c>
      <c r="H439" s="16">
        <v>42400</v>
      </c>
      <c r="I439" s="13">
        <v>51545.67</v>
      </c>
      <c r="J439" s="13">
        <f t="shared" si="15"/>
        <v>64432.087499999994</v>
      </c>
      <c r="K439" s="6"/>
    </row>
    <row r="440" spans="1:11" ht="24" x14ac:dyDescent="0.25">
      <c r="A440" s="3">
        <v>255</v>
      </c>
      <c r="B440" s="14" t="s">
        <v>245</v>
      </c>
      <c r="C440" s="15" t="str">
        <f>"O-15-904"</f>
        <v>O-15-904</v>
      </c>
      <c r="D440" s="15" t="str">
        <f t="shared" si="14"/>
        <v>HEP-OPSKRBA D.O.O.</v>
      </c>
      <c r="E440" s="16">
        <v>42030</v>
      </c>
      <c r="F440" s="16">
        <v>42400</v>
      </c>
      <c r="G440" s="13">
        <v>10169.4</v>
      </c>
      <c r="H440" s="16">
        <v>42400</v>
      </c>
      <c r="I440" s="13">
        <v>8857.42</v>
      </c>
      <c r="J440" s="13">
        <f t="shared" si="15"/>
        <v>11071.775</v>
      </c>
      <c r="K440" s="6"/>
    </row>
    <row r="441" spans="1:11" x14ac:dyDescent="0.25">
      <c r="A441" s="3">
        <v>256</v>
      </c>
      <c r="B441" s="14" t="s">
        <v>291</v>
      </c>
      <c r="C441" s="15" t="str">
        <f>"O-15-871"</f>
        <v>O-15-871</v>
      </c>
      <c r="D441" s="15" t="str">
        <f t="shared" si="14"/>
        <v>HEP-OPSKRBA D.O.O.</v>
      </c>
      <c r="E441" s="16">
        <v>42025</v>
      </c>
      <c r="F441" s="16">
        <v>42400</v>
      </c>
      <c r="G441" s="13">
        <v>38037.5</v>
      </c>
      <c r="H441" s="16">
        <v>42400</v>
      </c>
      <c r="I441" s="13">
        <v>43282</v>
      </c>
      <c r="J441" s="13">
        <f t="shared" si="15"/>
        <v>54102.5</v>
      </c>
      <c r="K441" s="6"/>
    </row>
    <row r="442" spans="1:11" ht="24" x14ac:dyDescent="0.25">
      <c r="A442" s="3">
        <v>257</v>
      </c>
      <c r="B442" s="14" t="s">
        <v>303</v>
      </c>
      <c r="C442" s="15" t="str">
        <f>"O-15-872"</f>
        <v>O-15-872</v>
      </c>
      <c r="D442" s="15" t="str">
        <f t="shared" si="14"/>
        <v>HEP-OPSKRBA D.O.O.</v>
      </c>
      <c r="E442" s="16">
        <v>42026</v>
      </c>
      <c r="F442" s="16">
        <v>42400</v>
      </c>
      <c r="G442" s="13">
        <v>698.7</v>
      </c>
      <c r="H442" s="16">
        <v>42400</v>
      </c>
      <c r="I442" s="13">
        <v>658.21</v>
      </c>
      <c r="J442" s="13">
        <f t="shared" si="15"/>
        <v>822.76250000000005</v>
      </c>
      <c r="K442" s="6"/>
    </row>
    <row r="443" spans="1:11" ht="24" x14ac:dyDescent="0.25">
      <c r="A443" s="3">
        <v>258</v>
      </c>
      <c r="B443" s="14" t="s">
        <v>590</v>
      </c>
      <c r="C443" s="15" t="str">
        <f>"O-15-694"</f>
        <v>O-15-694</v>
      </c>
      <c r="D443" s="15" t="str">
        <f t="shared" si="14"/>
        <v>HEP-OPSKRBA D.O.O.</v>
      </c>
      <c r="E443" s="16">
        <v>42017</v>
      </c>
      <c r="F443" s="16">
        <v>42400</v>
      </c>
      <c r="G443" s="13">
        <v>35322.6</v>
      </c>
      <c r="H443" s="16">
        <v>42400</v>
      </c>
      <c r="I443" s="13">
        <v>29977.14</v>
      </c>
      <c r="J443" s="13">
        <f t="shared" si="15"/>
        <v>37471.425000000003</v>
      </c>
      <c r="K443" s="6"/>
    </row>
    <row r="444" spans="1:11" ht="24" x14ac:dyDescent="0.25">
      <c r="A444" s="3">
        <v>259</v>
      </c>
      <c r="B444" s="14" t="s">
        <v>591</v>
      </c>
      <c r="C444" s="15" t="str">
        <f>"O-15-876"</f>
        <v>O-15-876</v>
      </c>
      <c r="D444" s="15" t="str">
        <f t="shared" si="14"/>
        <v>HEP-OPSKRBA D.O.O.</v>
      </c>
      <c r="E444" s="16">
        <v>42027</v>
      </c>
      <c r="F444" s="16">
        <v>42400</v>
      </c>
      <c r="G444" s="13">
        <v>17605.2</v>
      </c>
      <c r="H444" s="16">
        <v>42400</v>
      </c>
      <c r="I444" s="40">
        <v>0</v>
      </c>
      <c r="J444" s="40">
        <f t="shared" si="15"/>
        <v>0</v>
      </c>
      <c r="K444" s="6"/>
    </row>
    <row r="445" spans="1:11" x14ac:dyDescent="0.25">
      <c r="A445" s="3">
        <v>260</v>
      </c>
      <c r="B445" s="14" t="s">
        <v>592</v>
      </c>
      <c r="C445" s="15" t="str">
        <f>"O-15-704"</f>
        <v>O-15-704</v>
      </c>
      <c r="D445" s="15" t="str">
        <f t="shared" si="14"/>
        <v>HEP-OPSKRBA D.O.O.</v>
      </c>
      <c r="E445" s="16">
        <v>42030</v>
      </c>
      <c r="F445" s="16">
        <v>42400</v>
      </c>
      <c r="G445" s="13">
        <v>12255.3</v>
      </c>
      <c r="H445" s="16">
        <v>42400</v>
      </c>
      <c r="I445" s="13">
        <v>15438.15</v>
      </c>
      <c r="J445" s="13">
        <f t="shared" si="15"/>
        <v>19297.6875</v>
      </c>
      <c r="K445" s="6"/>
    </row>
    <row r="446" spans="1:11" x14ac:dyDescent="0.25">
      <c r="A446" s="3">
        <v>261</v>
      </c>
      <c r="B446" s="14" t="s">
        <v>593</v>
      </c>
      <c r="C446" s="15" t="str">
        <f>"O-15-988"</f>
        <v>O-15-988</v>
      </c>
      <c r="D446" s="15" t="str">
        <f t="shared" si="14"/>
        <v>HEP-OPSKRBA D.O.O.</v>
      </c>
      <c r="E446" s="16">
        <v>42034</v>
      </c>
      <c r="F446" s="16">
        <v>42400</v>
      </c>
      <c r="G446" s="13">
        <v>87393.600000000006</v>
      </c>
      <c r="H446" s="16">
        <v>42400</v>
      </c>
      <c r="I446" s="13">
        <v>55935.6</v>
      </c>
      <c r="J446" s="13">
        <f t="shared" si="15"/>
        <v>69919.5</v>
      </c>
      <c r="K446" s="6"/>
    </row>
    <row r="447" spans="1:11" ht="24" x14ac:dyDescent="0.25">
      <c r="A447" s="3">
        <v>262</v>
      </c>
      <c r="B447" s="14" t="s">
        <v>298</v>
      </c>
      <c r="C447" s="15" t="str">
        <f>"O-15-691"</f>
        <v>O-15-691</v>
      </c>
      <c r="D447" s="15" t="str">
        <f t="shared" si="14"/>
        <v>HEP-OPSKRBA D.O.O.</v>
      </c>
      <c r="E447" s="16">
        <v>42017</v>
      </c>
      <c r="F447" s="16">
        <v>42400</v>
      </c>
      <c r="G447" s="13">
        <v>14417.7</v>
      </c>
      <c r="H447" s="16">
        <v>42400</v>
      </c>
      <c r="I447" s="13">
        <v>10250.48</v>
      </c>
      <c r="J447" s="13">
        <f t="shared" si="15"/>
        <v>12813.099999999999</v>
      </c>
      <c r="K447" s="6"/>
    </row>
    <row r="448" spans="1:11" x14ac:dyDescent="0.25">
      <c r="A448" s="3">
        <v>263</v>
      </c>
      <c r="B448" s="14" t="s">
        <v>207</v>
      </c>
      <c r="C448" s="15" t="str">
        <f>"O-15-842"</f>
        <v>O-15-842</v>
      </c>
      <c r="D448" s="15" t="str">
        <f t="shared" si="14"/>
        <v>HEP-OPSKRBA D.O.O.</v>
      </c>
      <c r="E448" s="16">
        <v>42026</v>
      </c>
      <c r="F448" s="16">
        <v>42400</v>
      </c>
      <c r="G448" s="13">
        <v>24633</v>
      </c>
      <c r="H448" s="16">
        <v>42400</v>
      </c>
      <c r="I448" s="13">
        <v>24083.86</v>
      </c>
      <c r="J448" s="13">
        <f t="shared" si="15"/>
        <v>30104.825000000001</v>
      </c>
      <c r="K448" s="6"/>
    </row>
    <row r="449" spans="1:11" ht="24" x14ac:dyDescent="0.25">
      <c r="A449" s="3">
        <v>264</v>
      </c>
      <c r="B449" s="14" t="s">
        <v>594</v>
      </c>
      <c r="C449" s="15" t="str">
        <f>"O-15-885"</f>
        <v>O-15-885</v>
      </c>
      <c r="D449" s="15" t="str">
        <f t="shared" si="14"/>
        <v>HEP-OPSKRBA D.O.O.</v>
      </c>
      <c r="E449" s="16">
        <v>42031</v>
      </c>
      <c r="F449" s="16">
        <v>42400</v>
      </c>
      <c r="G449" s="13">
        <v>39387.300000000003</v>
      </c>
      <c r="H449" s="16">
        <v>42400</v>
      </c>
      <c r="I449" s="13">
        <v>24231</v>
      </c>
      <c r="J449" s="13">
        <f t="shared" si="15"/>
        <v>30288.75</v>
      </c>
      <c r="K449" s="6"/>
    </row>
    <row r="450" spans="1:11" ht="24" x14ac:dyDescent="0.25">
      <c r="A450" s="3">
        <v>265</v>
      </c>
      <c r="B450" s="14" t="s">
        <v>595</v>
      </c>
      <c r="C450" s="15" t="str">
        <f>"O-15-983"</f>
        <v>O-15-983</v>
      </c>
      <c r="D450" s="15" t="str">
        <f t="shared" si="14"/>
        <v>HEP-OPSKRBA D.O.O.</v>
      </c>
      <c r="E450" s="16">
        <v>42034</v>
      </c>
      <c r="F450" s="16">
        <v>42400</v>
      </c>
      <c r="G450" s="13">
        <v>9734.2000000000007</v>
      </c>
      <c r="H450" s="16">
        <v>42400</v>
      </c>
      <c r="I450" s="13">
        <v>8539</v>
      </c>
      <c r="J450" s="13">
        <f t="shared" si="15"/>
        <v>10673.75</v>
      </c>
      <c r="K450" s="6"/>
    </row>
    <row r="451" spans="1:11" x14ac:dyDescent="0.25">
      <c r="A451" s="3">
        <v>266</v>
      </c>
      <c r="B451" s="14" t="s">
        <v>596</v>
      </c>
      <c r="C451" s="15" t="str">
        <f>"O-15-943"</f>
        <v>O-15-943</v>
      </c>
      <c r="D451" s="15" t="str">
        <f t="shared" si="14"/>
        <v>HEP-OPSKRBA D.O.O.</v>
      </c>
      <c r="E451" s="16">
        <v>42031</v>
      </c>
      <c r="F451" s="16">
        <v>42400</v>
      </c>
      <c r="G451" s="13">
        <v>6162.5</v>
      </c>
      <c r="H451" s="16">
        <v>42400</v>
      </c>
      <c r="I451" s="13">
        <v>6108.4</v>
      </c>
      <c r="J451" s="13">
        <f t="shared" si="15"/>
        <v>7635.5</v>
      </c>
      <c r="K451" s="6"/>
    </row>
    <row r="452" spans="1:11" x14ac:dyDescent="0.25">
      <c r="A452" s="3">
        <v>267</v>
      </c>
      <c r="B452" s="14" t="s">
        <v>597</v>
      </c>
      <c r="C452" s="15" t="str">
        <f>"O-15-370"</f>
        <v>O-15-370</v>
      </c>
      <c r="D452" s="15" t="str">
        <f t="shared" si="14"/>
        <v>HEP-OPSKRBA D.O.O.</v>
      </c>
      <c r="E452" s="16">
        <v>42368</v>
      </c>
      <c r="F452" s="16">
        <v>42400</v>
      </c>
      <c r="G452" s="13">
        <v>11985</v>
      </c>
      <c r="H452" s="16">
        <v>42400</v>
      </c>
      <c r="I452" s="40">
        <v>0</v>
      </c>
      <c r="J452" s="40">
        <f t="shared" si="15"/>
        <v>0</v>
      </c>
      <c r="K452" s="6"/>
    </row>
    <row r="453" spans="1:11" x14ac:dyDescent="0.25">
      <c r="A453" s="3">
        <v>268</v>
      </c>
      <c r="B453" s="14" t="s">
        <v>598</v>
      </c>
      <c r="C453" s="15" t="str">
        <f>"O-15-772"</f>
        <v>O-15-772</v>
      </c>
      <c r="D453" s="15" t="str">
        <f t="shared" si="14"/>
        <v>HEP-OPSKRBA D.O.O.</v>
      </c>
      <c r="E453" s="16">
        <v>42024</v>
      </c>
      <c r="F453" s="16">
        <v>42400</v>
      </c>
      <c r="G453" s="13">
        <v>15539.7</v>
      </c>
      <c r="H453" s="16">
        <v>42400</v>
      </c>
      <c r="I453" s="13">
        <v>7146.09</v>
      </c>
      <c r="J453" s="13">
        <f t="shared" si="15"/>
        <v>8932.6124999999993</v>
      </c>
      <c r="K453" s="6"/>
    </row>
    <row r="454" spans="1:11" ht="36" x14ac:dyDescent="0.25">
      <c r="A454" s="3">
        <v>269</v>
      </c>
      <c r="B454" s="14" t="s">
        <v>242</v>
      </c>
      <c r="C454" s="15" t="str">
        <f>"O-15-801"</f>
        <v>O-15-801</v>
      </c>
      <c r="D454" s="15" t="str">
        <f t="shared" si="14"/>
        <v>HEP-OPSKRBA D.O.O.</v>
      </c>
      <c r="E454" s="16">
        <v>42024</v>
      </c>
      <c r="F454" s="16">
        <v>42369</v>
      </c>
      <c r="G454" s="13">
        <v>27866.25</v>
      </c>
      <c r="H454" s="16">
        <v>42369</v>
      </c>
      <c r="I454" s="13">
        <v>28383.03</v>
      </c>
      <c r="J454" s="13">
        <f t="shared" si="15"/>
        <v>35478.787499999999</v>
      </c>
      <c r="K454" s="6"/>
    </row>
    <row r="455" spans="1:11" x14ac:dyDescent="0.25">
      <c r="A455" s="3">
        <v>270</v>
      </c>
      <c r="B455" s="14" t="s">
        <v>243</v>
      </c>
      <c r="C455" s="15" t="str">
        <f>"O-15-594"</f>
        <v>O-15-594</v>
      </c>
      <c r="D455" s="15" t="str">
        <f t="shared" si="14"/>
        <v>HEP-OPSKRBA D.O.O.</v>
      </c>
      <c r="E455" s="16">
        <v>42003</v>
      </c>
      <c r="F455" s="16">
        <v>42369</v>
      </c>
      <c r="G455" s="13">
        <v>42936.9</v>
      </c>
      <c r="H455" s="16">
        <v>42369</v>
      </c>
      <c r="I455" s="13">
        <v>83198</v>
      </c>
      <c r="J455" s="13">
        <f t="shared" si="15"/>
        <v>103997.5</v>
      </c>
      <c r="K455" s="6"/>
    </row>
    <row r="456" spans="1:11" ht="24" x14ac:dyDescent="0.25">
      <c r="A456" s="3">
        <v>271</v>
      </c>
      <c r="B456" s="14" t="s">
        <v>167</v>
      </c>
      <c r="C456" s="15" t="str">
        <f>"O-15-570"</f>
        <v>O-15-570</v>
      </c>
      <c r="D456" s="15" t="str">
        <f t="shared" si="14"/>
        <v>HEP-OPSKRBA D.O.O.</v>
      </c>
      <c r="E456" s="16">
        <v>41996</v>
      </c>
      <c r="F456" s="16">
        <v>42369</v>
      </c>
      <c r="G456" s="13">
        <v>97672.28</v>
      </c>
      <c r="H456" s="16">
        <v>42369</v>
      </c>
      <c r="I456" s="13">
        <v>97672.28</v>
      </c>
      <c r="J456" s="13">
        <f t="shared" si="15"/>
        <v>122090.35</v>
      </c>
      <c r="K456" s="6"/>
    </row>
    <row r="457" spans="1:11" ht="24" x14ac:dyDescent="0.25">
      <c r="A457" s="3">
        <v>272</v>
      </c>
      <c r="B457" s="14" t="s">
        <v>599</v>
      </c>
      <c r="C457" s="15" t="str">
        <f>"O-15-720"</f>
        <v>O-15-720</v>
      </c>
      <c r="D457" s="15" t="str">
        <f t="shared" si="14"/>
        <v>HEP-OPSKRBA D.O.O.</v>
      </c>
      <c r="E457" s="16">
        <v>42016</v>
      </c>
      <c r="F457" s="16">
        <v>42400</v>
      </c>
      <c r="G457" s="13">
        <v>151933.43</v>
      </c>
      <c r="H457" s="16">
        <v>42400</v>
      </c>
      <c r="I457" s="13">
        <v>138715.34</v>
      </c>
      <c r="J457" s="13">
        <f t="shared" si="15"/>
        <v>173394.17499999999</v>
      </c>
      <c r="K457" s="6"/>
    </row>
    <row r="458" spans="1:11" ht="24" x14ac:dyDescent="0.25">
      <c r="A458" s="3">
        <v>273</v>
      </c>
      <c r="B458" s="14" t="s">
        <v>205</v>
      </c>
      <c r="C458" s="15" t="str">
        <f>"O-158-583"</f>
        <v>O-158-583</v>
      </c>
      <c r="D458" s="15" t="str">
        <f t="shared" si="14"/>
        <v>HEP-OPSKRBA D.O.O.</v>
      </c>
      <c r="E458" s="16">
        <v>42002</v>
      </c>
      <c r="F458" s="16">
        <v>42369</v>
      </c>
      <c r="G458" s="13">
        <v>99339.44</v>
      </c>
      <c r="H458" s="16">
        <v>42369</v>
      </c>
      <c r="I458" s="13">
        <v>99339.44</v>
      </c>
      <c r="J458" s="13">
        <f t="shared" si="15"/>
        <v>124174.3</v>
      </c>
      <c r="K458" s="6"/>
    </row>
    <row r="459" spans="1:11" ht="24" x14ac:dyDescent="0.25">
      <c r="A459" s="3">
        <v>274</v>
      </c>
      <c r="B459" s="14" t="s">
        <v>600</v>
      </c>
      <c r="C459" s="15" t="str">
        <f>"O-15-590"</f>
        <v>O-15-590</v>
      </c>
      <c r="D459" s="15" t="str">
        <f t="shared" si="14"/>
        <v>HEP-OPSKRBA D.O.O.</v>
      </c>
      <c r="E459" s="16">
        <v>41997</v>
      </c>
      <c r="F459" s="16">
        <v>42369</v>
      </c>
      <c r="G459" s="13">
        <v>4799.1000000000004</v>
      </c>
      <c r="H459" s="16">
        <v>42369</v>
      </c>
      <c r="I459" s="13">
        <v>4692.6499999999996</v>
      </c>
      <c r="J459" s="13">
        <f t="shared" si="15"/>
        <v>5865.8125</v>
      </c>
      <c r="K459" s="6"/>
    </row>
    <row r="460" spans="1:11" x14ac:dyDescent="0.25">
      <c r="A460" s="3">
        <v>275</v>
      </c>
      <c r="B460" s="14" t="s">
        <v>601</v>
      </c>
      <c r="C460" s="15" t="str">
        <f>"O-15-567"</f>
        <v>O-15-567</v>
      </c>
      <c r="D460" s="15" t="str">
        <f t="shared" si="14"/>
        <v>HEP-OPSKRBA D.O.O.</v>
      </c>
      <c r="E460" s="16">
        <v>42002</v>
      </c>
      <c r="F460" s="16">
        <v>42369</v>
      </c>
      <c r="G460" s="13">
        <v>23531.4</v>
      </c>
      <c r="H460" s="16">
        <v>42369</v>
      </c>
      <c r="I460" s="13">
        <v>24163.27</v>
      </c>
      <c r="J460" s="13">
        <f t="shared" si="15"/>
        <v>30204.087500000001</v>
      </c>
      <c r="K460" s="6"/>
    </row>
    <row r="461" spans="1:11" ht="24" x14ac:dyDescent="0.25">
      <c r="A461" s="3">
        <v>276</v>
      </c>
      <c r="B461" s="14" t="s">
        <v>308</v>
      </c>
      <c r="C461" s="15" t="str">
        <f>"O-15-563"</f>
        <v>O-15-563</v>
      </c>
      <c r="D461" s="15" t="str">
        <f t="shared" si="14"/>
        <v>HEP-OPSKRBA D.O.O.</v>
      </c>
      <c r="E461" s="16">
        <v>41997</v>
      </c>
      <c r="F461" s="16">
        <v>42369</v>
      </c>
      <c r="G461" s="13">
        <v>231647.91</v>
      </c>
      <c r="H461" s="16">
        <v>42369</v>
      </c>
      <c r="I461" s="13">
        <v>231647.91</v>
      </c>
      <c r="J461" s="13">
        <f t="shared" si="15"/>
        <v>289559.88750000001</v>
      </c>
      <c r="K461" s="6"/>
    </row>
    <row r="462" spans="1:11" ht="24" x14ac:dyDescent="0.25">
      <c r="A462" s="3">
        <v>277</v>
      </c>
      <c r="B462" s="14" t="s">
        <v>602</v>
      </c>
      <c r="C462" s="15" t="str">
        <f>"O-15-510"</f>
        <v>O-15-510</v>
      </c>
      <c r="D462" s="15" t="str">
        <f t="shared" si="14"/>
        <v>HEP-OPSKRBA D.O.O.</v>
      </c>
      <c r="E462" s="16">
        <v>42004</v>
      </c>
      <c r="F462" s="16">
        <v>42369</v>
      </c>
      <c r="G462" s="13">
        <v>148508.6</v>
      </c>
      <c r="H462" s="16">
        <v>42369</v>
      </c>
      <c r="I462" s="13">
        <v>112236.28</v>
      </c>
      <c r="J462" s="13">
        <f t="shared" si="15"/>
        <v>140295.35</v>
      </c>
      <c r="K462" s="6"/>
    </row>
    <row r="463" spans="1:11" x14ac:dyDescent="0.25">
      <c r="A463" s="3">
        <v>278</v>
      </c>
      <c r="B463" s="14" t="s">
        <v>603</v>
      </c>
      <c r="C463" s="15" t="str">
        <f>"O-15-509"</f>
        <v>O-15-509</v>
      </c>
      <c r="D463" s="15" t="str">
        <f t="shared" si="14"/>
        <v>HEP-OPSKRBA D.O.O.</v>
      </c>
      <c r="E463" s="16">
        <v>42002</v>
      </c>
      <c r="F463" s="16">
        <v>42369</v>
      </c>
      <c r="G463" s="13">
        <v>49944.3</v>
      </c>
      <c r="H463" s="16">
        <v>42369</v>
      </c>
      <c r="I463" s="13">
        <v>48557.81</v>
      </c>
      <c r="J463" s="13">
        <f t="shared" si="15"/>
        <v>60697.262499999997</v>
      </c>
      <c r="K463" s="6"/>
    </row>
    <row r="464" spans="1:11" ht="24" x14ac:dyDescent="0.25">
      <c r="A464" s="3">
        <v>279</v>
      </c>
      <c r="B464" s="14" t="s">
        <v>222</v>
      </c>
      <c r="C464" s="15" t="str">
        <f>"O-15-601"</f>
        <v>O-15-601</v>
      </c>
      <c r="D464" s="15" t="str">
        <f t="shared" ref="D464:D498" si="16">CONCATENATE("HEP-OPSKRBA D.O.O.")</f>
        <v>HEP-OPSKRBA D.O.O.</v>
      </c>
      <c r="E464" s="16">
        <v>42004</v>
      </c>
      <c r="F464" s="16">
        <v>42369</v>
      </c>
      <c r="G464" s="13">
        <v>43283.7</v>
      </c>
      <c r="H464" s="16">
        <v>42369</v>
      </c>
      <c r="I464" s="13">
        <v>42779.8</v>
      </c>
      <c r="J464" s="13">
        <f t="shared" si="15"/>
        <v>53474.75</v>
      </c>
      <c r="K464" s="6"/>
    </row>
    <row r="465" spans="1:11" ht="24" x14ac:dyDescent="0.25">
      <c r="A465" s="3">
        <v>280</v>
      </c>
      <c r="B465" s="14" t="s">
        <v>604</v>
      </c>
      <c r="C465" s="15" t="str">
        <f>"O-15-640"</f>
        <v>O-15-640</v>
      </c>
      <c r="D465" s="15" t="str">
        <f t="shared" si="16"/>
        <v>HEP-OPSKRBA D.O.O.</v>
      </c>
      <c r="E465" s="16">
        <v>42359</v>
      </c>
      <c r="F465" s="16">
        <v>42369</v>
      </c>
      <c r="G465" s="13">
        <v>12070</v>
      </c>
      <c r="H465" s="16">
        <v>42369</v>
      </c>
      <c r="I465" s="13">
        <v>18643.64</v>
      </c>
      <c r="J465" s="13">
        <f t="shared" si="15"/>
        <v>23304.55</v>
      </c>
      <c r="K465" s="6"/>
    </row>
    <row r="466" spans="1:11" ht="36" x14ac:dyDescent="0.25">
      <c r="A466" s="3">
        <v>281</v>
      </c>
      <c r="B466" s="14" t="s">
        <v>384</v>
      </c>
      <c r="C466" s="15" t="str">
        <f>"O-15-514"</f>
        <v>O-15-514</v>
      </c>
      <c r="D466" s="15" t="str">
        <f t="shared" si="16"/>
        <v>HEP-OPSKRBA D.O.O.</v>
      </c>
      <c r="E466" s="16">
        <v>42002</v>
      </c>
      <c r="F466" s="16">
        <v>42369</v>
      </c>
      <c r="G466" s="13">
        <v>51000</v>
      </c>
      <c r="H466" s="16">
        <v>42369</v>
      </c>
      <c r="I466" s="13">
        <v>45207</v>
      </c>
      <c r="J466" s="13">
        <f t="shared" si="15"/>
        <v>56508.75</v>
      </c>
      <c r="K466" s="6"/>
    </row>
    <row r="467" spans="1:11" ht="24" x14ac:dyDescent="0.25">
      <c r="A467" s="3">
        <v>282</v>
      </c>
      <c r="B467" s="14" t="s">
        <v>605</v>
      </c>
      <c r="C467" s="15" t="str">
        <f>"O-15-1226"</f>
        <v>O-15-1226</v>
      </c>
      <c r="D467" s="15" t="str">
        <f t="shared" si="16"/>
        <v>HEP-OPSKRBA D.O.O.</v>
      </c>
      <c r="E467" s="16">
        <v>42062</v>
      </c>
      <c r="F467" s="16">
        <v>42369</v>
      </c>
      <c r="G467" s="13">
        <v>5200</v>
      </c>
      <c r="H467" s="16">
        <v>42369</v>
      </c>
      <c r="I467" s="13">
        <v>5105</v>
      </c>
      <c r="J467" s="13">
        <f t="shared" si="15"/>
        <v>6381.25</v>
      </c>
      <c r="K467" s="6"/>
    </row>
    <row r="468" spans="1:11" ht="24" x14ac:dyDescent="0.25">
      <c r="A468" s="3">
        <v>283</v>
      </c>
      <c r="B468" s="14" t="s">
        <v>520</v>
      </c>
      <c r="C468" s="15" t="str">
        <f>"5/2014 K"</f>
        <v>5/2014 K</v>
      </c>
      <c r="D468" s="15" t="str">
        <f t="shared" si="16"/>
        <v>HEP-OPSKRBA D.O.O.</v>
      </c>
      <c r="E468" s="16">
        <v>41991</v>
      </c>
      <c r="F468" s="16">
        <v>42369</v>
      </c>
      <c r="G468" s="13">
        <v>44000</v>
      </c>
      <c r="H468" s="16">
        <v>42369</v>
      </c>
      <c r="I468" s="13">
        <v>41965.75</v>
      </c>
      <c r="J468" s="13">
        <f t="shared" si="15"/>
        <v>52457.1875</v>
      </c>
      <c r="K468" s="6"/>
    </row>
    <row r="469" spans="1:11" ht="24" x14ac:dyDescent="0.25">
      <c r="A469" s="3">
        <v>284</v>
      </c>
      <c r="B469" s="14" t="s">
        <v>178</v>
      </c>
      <c r="C469" s="15" t="str">
        <f>"O-15-289"</f>
        <v>O-15-289</v>
      </c>
      <c r="D469" s="15" t="str">
        <f t="shared" si="16"/>
        <v>HEP-OPSKRBA D.O.O.</v>
      </c>
      <c r="E469" s="16">
        <v>42011</v>
      </c>
      <c r="F469" s="16">
        <v>42369</v>
      </c>
      <c r="G469" s="13">
        <v>50099.34</v>
      </c>
      <c r="H469" s="16">
        <v>42369</v>
      </c>
      <c r="I469" s="13">
        <v>50099.34</v>
      </c>
      <c r="J469" s="13">
        <f t="shared" si="15"/>
        <v>62624.174999999996</v>
      </c>
      <c r="K469" s="6"/>
    </row>
    <row r="470" spans="1:11" ht="24" x14ac:dyDescent="0.25">
      <c r="A470" s="3">
        <v>285</v>
      </c>
      <c r="B470" s="14" t="s">
        <v>606</v>
      </c>
      <c r="C470" s="15" t="str">
        <f>"O-15-555"</f>
        <v>O-15-555</v>
      </c>
      <c r="D470" s="15" t="str">
        <f t="shared" si="16"/>
        <v>HEP-OPSKRBA D.O.O.</v>
      </c>
      <c r="E470" s="16">
        <v>42004</v>
      </c>
      <c r="F470" s="16">
        <v>42369</v>
      </c>
      <c r="G470" s="13">
        <v>33741.599999999999</v>
      </c>
      <c r="H470" s="16">
        <v>42369</v>
      </c>
      <c r="I470" s="40">
        <v>0</v>
      </c>
      <c r="J470" s="40">
        <f t="shared" si="15"/>
        <v>0</v>
      </c>
      <c r="K470" s="6"/>
    </row>
    <row r="471" spans="1:11" x14ac:dyDescent="0.25">
      <c r="A471" s="3">
        <v>286</v>
      </c>
      <c r="B471" s="14" t="s">
        <v>290</v>
      </c>
      <c r="C471" s="15" t="str">
        <f>"O-15-616"</f>
        <v>O-15-616</v>
      </c>
      <c r="D471" s="15" t="str">
        <f t="shared" si="16"/>
        <v>HEP-OPSKRBA D.O.O.</v>
      </c>
      <c r="E471" s="16">
        <v>42359</v>
      </c>
      <c r="F471" s="16">
        <v>42369</v>
      </c>
      <c r="G471" s="13">
        <v>43095</v>
      </c>
      <c r="H471" s="16">
        <v>42369</v>
      </c>
      <c r="I471" s="13">
        <v>107234.7</v>
      </c>
      <c r="J471" s="13">
        <f t="shared" si="15"/>
        <v>134043.375</v>
      </c>
      <c r="K471" s="6"/>
    </row>
    <row r="472" spans="1:11" ht="24" x14ac:dyDescent="0.25">
      <c r="A472" s="3">
        <v>287</v>
      </c>
      <c r="B472" s="14" t="s">
        <v>267</v>
      </c>
      <c r="C472" s="15" t="str">
        <f>"O-15-540"</f>
        <v>O-15-540</v>
      </c>
      <c r="D472" s="15" t="str">
        <f t="shared" si="16"/>
        <v>HEP-OPSKRBA D.O.O.</v>
      </c>
      <c r="E472" s="16">
        <v>41996</v>
      </c>
      <c r="F472" s="16">
        <v>42369</v>
      </c>
      <c r="G472" s="13">
        <v>229500</v>
      </c>
      <c r="H472" s="16">
        <v>42369</v>
      </c>
      <c r="I472" s="13">
        <v>197575.39</v>
      </c>
      <c r="J472" s="13">
        <f t="shared" si="15"/>
        <v>246969.23750000002</v>
      </c>
      <c r="K472" s="6"/>
    </row>
    <row r="473" spans="1:11" x14ac:dyDescent="0.25">
      <c r="A473" s="3">
        <v>288</v>
      </c>
      <c r="B473" s="14" t="s">
        <v>607</v>
      </c>
      <c r="C473" s="15" t="str">
        <f>"O-15-546"</f>
        <v>O-15-546</v>
      </c>
      <c r="D473" s="15" t="str">
        <f t="shared" si="16"/>
        <v>HEP-OPSKRBA D.O.O.</v>
      </c>
      <c r="E473" s="16">
        <v>41997</v>
      </c>
      <c r="F473" s="16">
        <v>42369</v>
      </c>
      <c r="G473" s="13">
        <v>83762.399999999994</v>
      </c>
      <c r="H473" s="16">
        <v>42369</v>
      </c>
      <c r="I473" s="40">
        <v>0</v>
      </c>
      <c r="J473" s="40">
        <f t="shared" si="15"/>
        <v>0</v>
      </c>
      <c r="K473" s="6"/>
    </row>
    <row r="474" spans="1:11" ht="24" x14ac:dyDescent="0.25">
      <c r="A474" s="3">
        <v>289</v>
      </c>
      <c r="B474" s="14" t="s">
        <v>608</v>
      </c>
      <c r="C474" s="15" t="str">
        <f>"O-15-599"</f>
        <v>O-15-599</v>
      </c>
      <c r="D474" s="15" t="str">
        <f t="shared" si="16"/>
        <v>HEP-OPSKRBA D.O.O.</v>
      </c>
      <c r="E474" s="16">
        <v>42003</v>
      </c>
      <c r="F474" s="16">
        <v>42369</v>
      </c>
      <c r="G474" s="13">
        <v>38448.9</v>
      </c>
      <c r="H474" s="16">
        <v>42369</v>
      </c>
      <c r="I474" s="13">
        <v>28958.560000000001</v>
      </c>
      <c r="J474" s="13">
        <f t="shared" si="15"/>
        <v>36198.200000000004</v>
      </c>
      <c r="K474" s="6"/>
    </row>
    <row r="475" spans="1:11" ht="24" x14ac:dyDescent="0.25">
      <c r="A475" s="3">
        <v>290</v>
      </c>
      <c r="B475" s="14" t="s">
        <v>609</v>
      </c>
      <c r="C475" s="15" t="str">
        <f>"O-15-353"</f>
        <v>O-15-353</v>
      </c>
      <c r="D475" s="15" t="str">
        <f t="shared" si="16"/>
        <v>HEP-OPSKRBA D.O.O.</v>
      </c>
      <c r="E475" s="16">
        <v>41997</v>
      </c>
      <c r="F475" s="16">
        <v>42369</v>
      </c>
      <c r="G475" s="13">
        <v>89260.2</v>
      </c>
      <c r="H475" s="16">
        <v>42369</v>
      </c>
      <c r="I475" s="13">
        <v>102070.53</v>
      </c>
      <c r="J475" s="13">
        <f t="shared" si="15"/>
        <v>127588.16250000001</v>
      </c>
      <c r="K475" s="6"/>
    </row>
    <row r="476" spans="1:11" x14ac:dyDescent="0.25">
      <c r="A476" s="3">
        <v>291</v>
      </c>
      <c r="B476" s="14" t="s">
        <v>148</v>
      </c>
      <c r="C476" s="15" t="str">
        <f>"O-15-572"</f>
        <v>O-15-572</v>
      </c>
      <c r="D476" s="15" t="str">
        <f t="shared" si="16"/>
        <v>HEP-OPSKRBA D.O.O.</v>
      </c>
      <c r="E476" s="16">
        <v>42003</v>
      </c>
      <c r="F476" s="16">
        <v>42369</v>
      </c>
      <c r="G476" s="13">
        <v>13474.2</v>
      </c>
      <c r="H476" s="16">
        <v>42369</v>
      </c>
      <c r="I476" s="13">
        <v>14533.09</v>
      </c>
      <c r="J476" s="13">
        <f t="shared" si="15"/>
        <v>18166.362499999999</v>
      </c>
      <c r="K476" s="6"/>
    </row>
    <row r="477" spans="1:11" x14ac:dyDescent="0.25">
      <c r="A477" s="3">
        <v>292</v>
      </c>
      <c r="B477" s="14" t="s">
        <v>610</v>
      </c>
      <c r="C477" s="15" t="str">
        <f>"O-15-587"</f>
        <v>O-15-587</v>
      </c>
      <c r="D477" s="15" t="str">
        <f t="shared" si="16"/>
        <v>HEP-OPSKRBA D.O.O.</v>
      </c>
      <c r="E477" s="16">
        <v>42002</v>
      </c>
      <c r="F477" s="16">
        <v>42369</v>
      </c>
      <c r="G477" s="13">
        <v>8139.6</v>
      </c>
      <c r="H477" s="16">
        <v>42369</v>
      </c>
      <c r="I477" s="13">
        <v>11584.26</v>
      </c>
      <c r="J477" s="13">
        <f t="shared" si="15"/>
        <v>14480.325000000001</v>
      </c>
      <c r="K477" s="6"/>
    </row>
    <row r="478" spans="1:11" x14ac:dyDescent="0.25">
      <c r="A478" s="3">
        <v>293</v>
      </c>
      <c r="B478" s="14" t="s">
        <v>214</v>
      </c>
      <c r="C478" s="15" t="str">
        <f>"O-15-589"</f>
        <v>O-15-589</v>
      </c>
      <c r="D478" s="15" t="str">
        <f t="shared" si="16"/>
        <v>HEP-OPSKRBA D.O.O.</v>
      </c>
      <c r="E478" s="16">
        <v>42352</v>
      </c>
      <c r="F478" s="16">
        <v>42369</v>
      </c>
      <c r="G478" s="13">
        <v>179350</v>
      </c>
      <c r="H478" s="16">
        <v>42369</v>
      </c>
      <c r="I478" s="13">
        <v>175127.66</v>
      </c>
      <c r="J478" s="13">
        <f t="shared" si="15"/>
        <v>218909.57500000001</v>
      </c>
      <c r="K478" s="6"/>
    </row>
    <row r="479" spans="1:11" x14ac:dyDescent="0.25">
      <c r="A479" s="3">
        <v>294</v>
      </c>
      <c r="B479" s="14" t="s">
        <v>208</v>
      </c>
      <c r="C479" s="15" t="str">
        <f>"O-15-547"</f>
        <v>O-15-547</v>
      </c>
      <c r="D479" s="15" t="str">
        <f t="shared" si="16"/>
        <v>HEP-OPSKRBA D.O.O.</v>
      </c>
      <c r="E479" s="16">
        <v>41995</v>
      </c>
      <c r="F479" s="16">
        <v>42369</v>
      </c>
      <c r="G479" s="13">
        <v>1427632.8</v>
      </c>
      <c r="H479" s="16">
        <v>42369</v>
      </c>
      <c r="I479" s="13">
        <v>1344985.16</v>
      </c>
      <c r="J479" s="13">
        <f t="shared" si="15"/>
        <v>1681231.45</v>
      </c>
      <c r="K479" s="6"/>
    </row>
    <row r="480" spans="1:11" x14ac:dyDescent="0.25">
      <c r="A480" s="3">
        <v>295</v>
      </c>
      <c r="B480" s="14" t="s">
        <v>611</v>
      </c>
      <c r="C480" s="15" t="str">
        <f>"O-15-569"</f>
        <v>O-15-569</v>
      </c>
      <c r="D480" s="15" t="str">
        <f t="shared" si="16"/>
        <v>HEP-OPSKRBA D.O.O.</v>
      </c>
      <c r="E480" s="16">
        <v>41996</v>
      </c>
      <c r="F480" s="16">
        <v>42369</v>
      </c>
      <c r="G480" s="13">
        <v>29845.200000000001</v>
      </c>
      <c r="H480" s="16">
        <v>42369</v>
      </c>
      <c r="I480" s="13">
        <v>70224</v>
      </c>
      <c r="J480" s="13">
        <f t="shared" si="15"/>
        <v>87780</v>
      </c>
      <c r="K480" s="6"/>
    </row>
    <row r="481" spans="1:11" ht="36" x14ac:dyDescent="0.25">
      <c r="A481" s="3">
        <v>296</v>
      </c>
      <c r="B481" s="14" t="s">
        <v>612</v>
      </c>
      <c r="C481" s="15" t="str">
        <f>"O-15-574"</f>
        <v>O-15-574</v>
      </c>
      <c r="D481" s="15" t="str">
        <f t="shared" si="16"/>
        <v>HEP-OPSKRBA D.O.O.</v>
      </c>
      <c r="E481" s="16">
        <v>41997</v>
      </c>
      <c r="F481" s="16">
        <v>42369</v>
      </c>
      <c r="G481" s="13">
        <v>109888</v>
      </c>
      <c r="H481" s="16">
        <v>42369</v>
      </c>
      <c r="I481" s="13">
        <v>115182.53</v>
      </c>
      <c r="J481" s="13">
        <f t="shared" si="15"/>
        <v>143978.16250000001</v>
      </c>
      <c r="K481" s="6"/>
    </row>
    <row r="482" spans="1:11" ht="24" x14ac:dyDescent="0.25">
      <c r="A482" s="3">
        <v>297</v>
      </c>
      <c r="B482" s="14" t="s">
        <v>215</v>
      </c>
      <c r="C482" s="15" t="str">
        <f>"O-15-515"</f>
        <v>O-15-515</v>
      </c>
      <c r="D482" s="15" t="str">
        <f t="shared" si="16"/>
        <v>HEP-OPSKRBA D.O.O.</v>
      </c>
      <c r="E482" s="16">
        <v>42003</v>
      </c>
      <c r="F482" s="16">
        <v>42369</v>
      </c>
      <c r="G482" s="13">
        <v>57084.3</v>
      </c>
      <c r="H482" s="16">
        <v>42369</v>
      </c>
      <c r="I482" s="13">
        <v>53455</v>
      </c>
      <c r="J482" s="13">
        <f t="shared" si="15"/>
        <v>66818.75</v>
      </c>
      <c r="K482" s="6"/>
    </row>
    <row r="483" spans="1:11" x14ac:dyDescent="0.25">
      <c r="A483" s="3">
        <v>298</v>
      </c>
      <c r="B483" s="14" t="s">
        <v>206</v>
      </c>
      <c r="C483" s="15" t="str">
        <f>"O-15-597"</f>
        <v>O-15-597</v>
      </c>
      <c r="D483" s="15" t="str">
        <f t="shared" si="16"/>
        <v>HEP-OPSKRBA D.O.O.</v>
      </c>
      <c r="E483" s="16">
        <v>42003</v>
      </c>
      <c r="F483" s="16">
        <v>42369</v>
      </c>
      <c r="G483" s="13">
        <v>1029785.63</v>
      </c>
      <c r="H483" s="16">
        <v>42369</v>
      </c>
      <c r="I483" s="40">
        <v>0</v>
      </c>
      <c r="J483" s="40">
        <f t="shared" si="15"/>
        <v>0</v>
      </c>
      <c r="K483" s="6"/>
    </row>
    <row r="484" spans="1:11" x14ac:dyDescent="0.25">
      <c r="A484" s="3">
        <v>299</v>
      </c>
      <c r="B484" s="14" t="s">
        <v>192</v>
      </c>
      <c r="C484" s="15" t="str">
        <f>"O-15-592"</f>
        <v>O-15-592</v>
      </c>
      <c r="D484" s="15" t="str">
        <f t="shared" si="16"/>
        <v>HEP-OPSKRBA D.O.O.</v>
      </c>
      <c r="E484" s="16">
        <v>42002</v>
      </c>
      <c r="F484" s="16">
        <v>42369</v>
      </c>
      <c r="G484" s="13">
        <v>52677.9</v>
      </c>
      <c r="H484" s="16">
        <v>42369</v>
      </c>
      <c r="I484" s="13">
        <v>38401.89</v>
      </c>
      <c r="J484" s="13">
        <f t="shared" si="15"/>
        <v>48002.362500000003</v>
      </c>
      <c r="K484" s="6"/>
    </row>
    <row r="485" spans="1:11" x14ac:dyDescent="0.25">
      <c r="A485" s="3">
        <v>300</v>
      </c>
      <c r="B485" s="14" t="s">
        <v>202</v>
      </c>
      <c r="C485" s="15" t="str">
        <f>"O-15-557"</f>
        <v>O-15-557</v>
      </c>
      <c r="D485" s="15" t="str">
        <f t="shared" si="16"/>
        <v>HEP-OPSKRBA D.O.O.</v>
      </c>
      <c r="E485" s="16">
        <v>42003</v>
      </c>
      <c r="F485" s="16">
        <v>42369</v>
      </c>
      <c r="G485" s="13">
        <v>43350</v>
      </c>
      <c r="H485" s="16">
        <v>42369</v>
      </c>
      <c r="I485" s="13">
        <v>43248.88</v>
      </c>
      <c r="J485" s="13">
        <f t="shared" si="15"/>
        <v>54061.1</v>
      </c>
      <c r="K485" s="6"/>
    </row>
    <row r="486" spans="1:11" ht="36" x14ac:dyDescent="0.25">
      <c r="A486" s="3">
        <v>301</v>
      </c>
      <c r="B486" s="14" t="s">
        <v>613</v>
      </c>
      <c r="C486" s="15" t="str">
        <f>"O-15-641"</f>
        <v>O-15-641</v>
      </c>
      <c r="D486" s="15" t="str">
        <f t="shared" si="16"/>
        <v>HEP-OPSKRBA D.O.O.</v>
      </c>
      <c r="E486" s="16">
        <v>42356</v>
      </c>
      <c r="F486" s="16">
        <v>42369</v>
      </c>
      <c r="G486" s="13">
        <v>40035</v>
      </c>
      <c r="H486" s="16">
        <v>42369</v>
      </c>
      <c r="I486" s="13">
        <v>28324.18</v>
      </c>
      <c r="J486" s="13">
        <f t="shared" si="15"/>
        <v>35405.224999999999</v>
      </c>
      <c r="K486" s="6"/>
    </row>
    <row r="487" spans="1:11" x14ac:dyDescent="0.25">
      <c r="A487" s="3">
        <v>302</v>
      </c>
      <c r="B487" s="14" t="s">
        <v>297</v>
      </c>
      <c r="C487" s="15" t="str">
        <f>"O-15-568"</f>
        <v>O-15-568</v>
      </c>
      <c r="D487" s="15" t="str">
        <f t="shared" si="16"/>
        <v>HEP-OPSKRBA D.O.O.</v>
      </c>
      <c r="E487" s="16">
        <v>42003</v>
      </c>
      <c r="F487" s="16">
        <v>42369</v>
      </c>
      <c r="G487" s="13">
        <v>22526.7</v>
      </c>
      <c r="H487" s="16">
        <v>42369</v>
      </c>
      <c r="I487" s="13">
        <v>22526.7</v>
      </c>
      <c r="J487" s="13">
        <f t="shared" si="15"/>
        <v>28158.375</v>
      </c>
      <c r="K487" s="6"/>
    </row>
    <row r="488" spans="1:11" ht="24" x14ac:dyDescent="0.25">
      <c r="A488" s="3">
        <v>303</v>
      </c>
      <c r="B488" s="14" t="s">
        <v>614</v>
      </c>
      <c r="C488" s="15" t="str">
        <f>"O-15-539"</f>
        <v>O-15-539</v>
      </c>
      <c r="D488" s="15" t="str">
        <f t="shared" si="16"/>
        <v>HEP-OPSKRBA D.O.O.</v>
      </c>
      <c r="E488" s="16">
        <v>42003</v>
      </c>
      <c r="F488" s="16">
        <v>42369</v>
      </c>
      <c r="G488" s="13">
        <v>3570</v>
      </c>
      <c r="H488" s="16">
        <v>42369</v>
      </c>
      <c r="I488" s="40">
        <v>0</v>
      </c>
      <c r="J488" s="40">
        <f t="shared" si="15"/>
        <v>0</v>
      </c>
      <c r="K488" s="6"/>
    </row>
    <row r="489" spans="1:11" x14ac:dyDescent="0.25">
      <c r="A489" s="3">
        <v>304</v>
      </c>
      <c r="B489" s="14" t="s">
        <v>201</v>
      </c>
      <c r="C489" s="15" t="str">
        <f>"O-15-596"</f>
        <v>O-15-596</v>
      </c>
      <c r="D489" s="15" t="str">
        <f t="shared" si="16"/>
        <v>HEP-OPSKRBA D.O.O.</v>
      </c>
      <c r="E489" s="16">
        <v>42002</v>
      </c>
      <c r="F489" s="16">
        <v>42369</v>
      </c>
      <c r="G489" s="13">
        <v>65506.95</v>
      </c>
      <c r="H489" s="16">
        <v>42369</v>
      </c>
      <c r="I489" s="13">
        <v>58272.22</v>
      </c>
      <c r="J489" s="13">
        <f t="shared" si="15"/>
        <v>72840.274999999994</v>
      </c>
      <c r="K489" s="6"/>
    </row>
    <row r="490" spans="1:11" ht="24" x14ac:dyDescent="0.25">
      <c r="A490" s="3">
        <v>305</v>
      </c>
      <c r="B490" s="14" t="s">
        <v>615</v>
      </c>
      <c r="C490" s="15" t="str">
        <f>"O-15-605"</f>
        <v>O-15-605</v>
      </c>
      <c r="D490" s="15" t="str">
        <f t="shared" si="16"/>
        <v>HEP-OPSKRBA D.O.O.</v>
      </c>
      <c r="E490" s="16">
        <v>42003</v>
      </c>
      <c r="F490" s="16">
        <v>42369</v>
      </c>
      <c r="G490" s="13">
        <v>22010.31</v>
      </c>
      <c r="H490" s="16">
        <v>42369</v>
      </c>
      <c r="I490" s="13">
        <v>23760.04</v>
      </c>
      <c r="J490" s="13">
        <f t="shared" si="15"/>
        <v>29700.050000000003</v>
      </c>
      <c r="K490" s="6"/>
    </row>
    <row r="491" spans="1:11" ht="24" x14ac:dyDescent="0.25">
      <c r="A491" s="3">
        <v>306</v>
      </c>
      <c r="B491" s="14" t="s">
        <v>616</v>
      </c>
      <c r="C491" s="15" t="str">
        <f>"O-15-575"</f>
        <v>O-15-575</v>
      </c>
      <c r="D491" s="15" t="str">
        <f t="shared" si="16"/>
        <v>HEP-OPSKRBA D.O.O.</v>
      </c>
      <c r="E491" s="16">
        <v>42003</v>
      </c>
      <c r="F491" s="16">
        <v>42369</v>
      </c>
      <c r="G491" s="13">
        <v>72970.8</v>
      </c>
      <c r="H491" s="16">
        <v>42369</v>
      </c>
      <c r="I491" s="13">
        <v>94128.8</v>
      </c>
      <c r="J491" s="13">
        <f t="shared" si="15"/>
        <v>117661</v>
      </c>
      <c r="K491" s="6"/>
    </row>
    <row r="492" spans="1:11" x14ac:dyDescent="0.25">
      <c r="A492" s="3">
        <v>307</v>
      </c>
      <c r="B492" s="14" t="s">
        <v>240</v>
      </c>
      <c r="C492" s="15" t="str">
        <f>"O-15-602"</f>
        <v>O-15-602</v>
      </c>
      <c r="D492" s="15" t="str">
        <f t="shared" si="16"/>
        <v>HEP-OPSKRBA D.O.O.</v>
      </c>
      <c r="E492" s="16">
        <v>42003</v>
      </c>
      <c r="F492" s="16">
        <v>42369</v>
      </c>
      <c r="G492" s="13">
        <v>4865.3999999999996</v>
      </c>
      <c r="H492" s="16">
        <v>42369</v>
      </c>
      <c r="I492" s="13">
        <v>4559.16</v>
      </c>
      <c r="J492" s="13">
        <f t="shared" si="15"/>
        <v>5698.95</v>
      </c>
      <c r="K492" s="6"/>
    </row>
    <row r="493" spans="1:11" x14ac:dyDescent="0.25">
      <c r="A493" s="3">
        <v>308</v>
      </c>
      <c r="B493" s="14" t="s">
        <v>287</v>
      </c>
      <c r="C493" s="15" t="str">
        <f>"O-15-535"</f>
        <v>O-15-535</v>
      </c>
      <c r="D493" s="15" t="str">
        <f t="shared" si="16"/>
        <v>HEP-OPSKRBA D.O.O.</v>
      </c>
      <c r="E493" s="16">
        <v>41997</v>
      </c>
      <c r="F493" s="16">
        <v>42369</v>
      </c>
      <c r="G493" s="13">
        <v>110318.1</v>
      </c>
      <c r="H493" s="16">
        <v>42369</v>
      </c>
      <c r="I493" s="13">
        <v>108870.33</v>
      </c>
      <c r="J493" s="13">
        <f t="shared" si="15"/>
        <v>136087.91250000001</v>
      </c>
      <c r="K493" s="6"/>
    </row>
    <row r="494" spans="1:11" x14ac:dyDescent="0.25">
      <c r="A494" s="3">
        <v>309</v>
      </c>
      <c r="B494" s="14" t="s">
        <v>617</v>
      </c>
      <c r="C494" s="15" t="str">
        <f>"O-15-588"</f>
        <v>O-15-588</v>
      </c>
      <c r="D494" s="15" t="str">
        <f t="shared" si="16"/>
        <v>HEP-OPSKRBA D.O.O.</v>
      </c>
      <c r="E494" s="16">
        <v>42004</v>
      </c>
      <c r="F494" s="16">
        <v>42369</v>
      </c>
      <c r="G494" s="13">
        <v>8450.7000000000007</v>
      </c>
      <c r="H494" s="16">
        <v>42369</v>
      </c>
      <c r="I494" s="13">
        <v>7818.42</v>
      </c>
      <c r="J494" s="13">
        <f t="shared" si="15"/>
        <v>9773.0249999999996</v>
      </c>
      <c r="K494" s="6"/>
    </row>
    <row r="495" spans="1:11" x14ac:dyDescent="0.25">
      <c r="A495" s="3">
        <v>310</v>
      </c>
      <c r="B495" s="14" t="s">
        <v>252</v>
      </c>
      <c r="C495" s="15" t="str">
        <f>"O-15-551"</f>
        <v>O-15-551</v>
      </c>
      <c r="D495" s="15" t="str">
        <f t="shared" si="16"/>
        <v>HEP-OPSKRBA D.O.O.</v>
      </c>
      <c r="E495" s="16">
        <v>41997</v>
      </c>
      <c r="F495" s="16">
        <v>42369</v>
      </c>
      <c r="G495" s="13">
        <v>53070.6</v>
      </c>
      <c r="H495" s="16">
        <v>42369</v>
      </c>
      <c r="I495" s="13">
        <v>61859.360000000001</v>
      </c>
      <c r="J495" s="13">
        <f t="shared" si="15"/>
        <v>77324.2</v>
      </c>
      <c r="K495" s="6"/>
    </row>
    <row r="496" spans="1:11" ht="24" x14ac:dyDescent="0.25">
      <c r="A496" s="3">
        <v>311</v>
      </c>
      <c r="B496" s="14" t="s">
        <v>381</v>
      </c>
      <c r="C496" s="15" t="str">
        <f>"O-14-3033"</f>
        <v>O-14-3033</v>
      </c>
      <c r="D496" s="15" t="str">
        <f t="shared" si="16"/>
        <v>HEP-OPSKRBA D.O.O.</v>
      </c>
      <c r="E496" s="16">
        <v>41995</v>
      </c>
      <c r="F496" s="16">
        <v>42369</v>
      </c>
      <c r="G496" s="13">
        <v>555900</v>
      </c>
      <c r="H496" s="16">
        <v>42369</v>
      </c>
      <c r="I496" s="13">
        <v>574045.5</v>
      </c>
      <c r="J496" s="13">
        <f t="shared" ref="J496:J498" si="17">I496*1.25</f>
        <v>717556.875</v>
      </c>
      <c r="K496" s="6"/>
    </row>
    <row r="497" spans="1:11" ht="36" x14ac:dyDescent="0.25">
      <c r="A497" s="3">
        <v>312</v>
      </c>
      <c r="B497" s="14" t="s">
        <v>618</v>
      </c>
      <c r="C497" s="15" t="str">
        <f>"0-15-806"</f>
        <v>0-15-806</v>
      </c>
      <c r="D497" s="15" t="str">
        <f t="shared" si="16"/>
        <v>HEP-OPSKRBA D.O.O.</v>
      </c>
      <c r="E497" s="16">
        <v>42026</v>
      </c>
      <c r="F497" s="16">
        <v>42369</v>
      </c>
      <c r="G497" s="13">
        <v>238878.28</v>
      </c>
      <c r="H497" s="16">
        <v>42369</v>
      </c>
      <c r="I497" s="13">
        <v>238878.28</v>
      </c>
      <c r="J497" s="13">
        <f t="shared" si="17"/>
        <v>298597.84999999998</v>
      </c>
      <c r="K497" s="6"/>
    </row>
    <row r="498" spans="1:11" ht="24" x14ac:dyDescent="0.25">
      <c r="A498" s="3">
        <v>313</v>
      </c>
      <c r="B498" s="14" t="s">
        <v>619</v>
      </c>
      <c r="C498" s="15" t="str">
        <f>"O-14-203616"</f>
        <v>O-14-203616</v>
      </c>
      <c r="D498" s="15" t="str">
        <f t="shared" si="16"/>
        <v>HEP-OPSKRBA D.O.O.</v>
      </c>
      <c r="E498" s="16">
        <v>41808</v>
      </c>
      <c r="F498" s="16"/>
      <c r="G498" s="13">
        <v>5000</v>
      </c>
      <c r="H498" s="16"/>
      <c r="I498" s="13">
        <v>5414</v>
      </c>
      <c r="J498" s="13">
        <f t="shared" si="17"/>
        <v>6767.5</v>
      </c>
      <c r="K498" s="6"/>
    </row>
    <row r="500" spans="1:11" x14ac:dyDescent="0.25">
      <c r="B500" s="41" t="s">
        <v>707</v>
      </c>
      <c r="C500" s="41"/>
      <c r="D500" s="41"/>
      <c r="E500" s="41"/>
      <c r="F500" s="41"/>
      <c r="G500" s="41"/>
      <c r="H500" s="41"/>
      <c r="I500" s="41"/>
      <c r="J500" s="41"/>
      <c r="K500" s="41"/>
    </row>
  </sheetData>
  <sheetProtection algorithmName="SHA-512" hashValue="1n7Eu5OAvgyClL3H24qOGJYJ8x9vzNGPU4+4YEU3JBBoT15SPFxtQeRBTgPP3lkdB6A+wt60cybkku2XlbmFCQ==" saltValue="GCSoQtIVZuIRASAgc1beOw==" spinCount="100000" sheet="1" objects="1" scenarios="1"/>
  <mergeCells count="6">
    <mergeCell ref="B500:K500"/>
    <mergeCell ref="A1:I1"/>
    <mergeCell ref="A4:H4"/>
    <mergeCell ref="A6:K6"/>
    <mergeCell ref="A184:H184"/>
    <mergeCell ref="A186:K18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C34" formula="1"/>
    <ignoredError sqref="C218" twoDigitTextYea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247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45" t="s">
        <v>388</v>
      </c>
      <c r="B1" s="45"/>
      <c r="C1" s="45"/>
      <c r="D1" s="45"/>
      <c r="E1" s="45"/>
      <c r="F1" s="45"/>
      <c r="G1" s="45"/>
      <c r="H1" s="45"/>
      <c r="I1" s="45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678</v>
      </c>
      <c r="C3" s="20" t="s">
        <v>620</v>
      </c>
      <c r="D3" s="3" t="s">
        <v>695</v>
      </c>
      <c r="E3" s="3" t="s">
        <v>24</v>
      </c>
      <c r="F3" s="21">
        <v>41673</v>
      </c>
      <c r="G3" s="3" t="s">
        <v>659</v>
      </c>
      <c r="H3" s="13">
        <v>312500000</v>
      </c>
      <c r="I3" s="13">
        <v>249616999.19999999</v>
      </c>
    </row>
    <row r="4" spans="1:11" x14ac:dyDescent="0.25">
      <c r="A4" s="42" t="s">
        <v>706</v>
      </c>
      <c r="B4" s="43"/>
      <c r="C4" s="43"/>
      <c r="D4" s="43"/>
      <c r="E4" s="43"/>
      <c r="F4" s="43"/>
      <c r="G4" s="43"/>
      <c r="H4" s="44"/>
      <c r="I4" s="13">
        <v>95677448.849999994</v>
      </c>
    </row>
    <row r="5" spans="1:11" ht="7.5" customHeight="1" x14ac:dyDescent="0.25"/>
    <row r="6" spans="1:1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352</v>
      </c>
      <c r="C8" s="15" t="str">
        <f>"DP-02/4-008802/14"</f>
        <v>DP-02/4-008802/14</v>
      </c>
      <c r="D8" s="15" t="str">
        <f t="shared" ref="D8:D22" si="0">CONCATENATE("HRVATSKA POŠTA D.D.")</f>
        <v>HRVATSKA POŠTA D.D.</v>
      </c>
      <c r="E8" s="16">
        <v>41724</v>
      </c>
      <c r="F8" s="16">
        <v>42185</v>
      </c>
      <c r="G8" s="13">
        <v>158594.29999999999</v>
      </c>
      <c r="H8" s="16">
        <v>42185</v>
      </c>
      <c r="I8" s="13">
        <v>34501.300000000003</v>
      </c>
      <c r="J8" s="13">
        <f>I8*1.25</f>
        <v>43126.625</v>
      </c>
      <c r="K8" s="6"/>
    </row>
    <row r="9" spans="1:11" x14ac:dyDescent="0.25">
      <c r="A9" s="3">
        <v>2</v>
      </c>
      <c r="B9" s="14" t="s">
        <v>336</v>
      </c>
      <c r="C9" s="15" t="str">
        <f>"11/2013-2"</f>
        <v>11/2013-2</v>
      </c>
      <c r="D9" s="15" t="str">
        <f t="shared" si="0"/>
        <v>HRVATSKA POŠTA D.D.</v>
      </c>
      <c r="E9" s="16">
        <v>41730</v>
      </c>
      <c r="F9" s="16">
        <v>42461</v>
      </c>
      <c r="G9" s="13">
        <v>490453.6</v>
      </c>
      <c r="H9" s="16">
        <v>42461</v>
      </c>
      <c r="I9" s="13">
        <v>49364.04</v>
      </c>
      <c r="J9" s="13">
        <f t="shared" ref="J9:J72" si="1">I9*1.25</f>
        <v>61705.05</v>
      </c>
      <c r="K9" s="6"/>
    </row>
    <row r="10" spans="1:11" x14ac:dyDescent="0.25">
      <c r="A10" s="3">
        <v>3</v>
      </c>
      <c r="B10" s="14" t="s">
        <v>705</v>
      </c>
      <c r="C10" s="15" t="str">
        <f>"DP-2-004121/13"</f>
        <v>DP-2-004121/13</v>
      </c>
      <c r="D10" s="15" t="str">
        <f t="shared" si="0"/>
        <v>HRVATSKA POŠTA D.D.</v>
      </c>
      <c r="E10" s="16">
        <v>41365</v>
      </c>
      <c r="F10" s="16"/>
      <c r="G10" s="13">
        <v>83684.22</v>
      </c>
      <c r="H10" s="16"/>
      <c r="I10" s="40">
        <v>0</v>
      </c>
      <c r="J10" s="40">
        <f t="shared" si="1"/>
        <v>0</v>
      </c>
      <c r="K10" s="6"/>
    </row>
    <row r="11" spans="1:11" x14ac:dyDescent="0.25">
      <c r="A11" s="3">
        <v>4</v>
      </c>
      <c r="B11" s="14" t="s">
        <v>393</v>
      </c>
      <c r="C11" s="15" t="str">
        <f>"DP-02/6.9074/14"</f>
        <v>DP-02/6.9074/14</v>
      </c>
      <c r="D11" s="15" t="str">
        <f t="shared" si="0"/>
        <v>HRVATSKA POŠTA D.D.</v>
      </c>
      <c r="E11" s="16">
        <v>41713</v>
      </c>
      <c r="F11" s="16"/>
      <c r="G11" s="13">
        <v>910729.93</v>
      </c>
      <c r="H11" s="16"/>
      <c r="I11" s="13">
        <v>441020.3</v>
      </c>
      <c r="J11" s="13">
        <f t="shared" si="1"/>
        <v>551275.375</v>
      </c>
      <c r="K11" s="6"/>
    </row>
    <row r="12" spans="1:11" x14ac:dyDescent="0.25">
      <c r="A12" s="3">
        <v>5</v>
      </c>
      <c r="B12" s="14" t="s">
        <v>393</v>
      </c>
      <c r="C12" s="15" t="str">
        <f>"DP-02/6-9060/14"</f>
        <v>DP-02/6-9060/14</v>
      </c>
      <c r="D12" s="15" t="str">
        <f t="shared" si="0"/>
        <v>HRVATSKA POŠTA D.D.</v>
      </c>
      <c r="E12" s="16">
        <v>41729</v>
      </c>
      <c r="F12" s="16"/>
      <c r="G12" s="13">
        <v>167593.29999999999</v>
      </c>
      <c r="H12" s="16"/>
      <c r="I12" s="13">
        <v>31463.02</v>
      </c>
      <c r="J12" s="13">
        <f t="shared" si="1"/>
        <v>39328.775000000001</v>
      </c>
      <c r="K12" s="6"/>
    </row>
    <row r="13" spans="1:11" x14ac:dyDescent="0.25">
      <c r="A13" s="3">
        <v>6</v>
      </c>
      <c r="B13" s="14" t="s">
        <v>393</v>
      </c>
      <c r="C13" s="15" t="str">
        <f>"DP-02/6-8916/14"</f>
        <v>DP-02/6-8916/14</v>
      </c>
      <c r="D13" s="15" t="str">
        <f t="shared" si="0"/>
        <v>HRVATSKA POŠTA D.D.</v>
      </c>
      <c r="E13" s="16">
        <v>41730</v>
      </c>
      <c r="F13" s="16"/>
      <c r="G13" s="13">
        <v>47680.66</v>
      </c>
      <c r="H13" s="16"/>
      <c r="I13" s="13">
        <v>8473.16</v>
      </c>
      <c r="J13" s="13">
        <f t="shared" si="1"/>
        <v>10591.45</v>
      </c>
      <c r="K13" s="6"/>
    </row>
    <row r="14" spans="1:11" x14ac:dyDescent="0.25">
      <c r="A14" s="3">
        <v>7</v>
      </c>
      <c r="B14" s="14" t="s">
        <v>393</v>
      </c>
      <c r="C14" s="15" t="str">
        <f>"DP-02/6-8919/14"</f>
        <v>DP-02/6-8919/14</v>
      </c>
      <c r="D14" s="15" t="str">
        <f t="shared" si="0"/>
        <v>HRVATSKA POŠTA D.D.</v>
      </c>
      <c r="E14" s="16">
        <v>41730</v>
      </c>
      <c r="F14" s="16"/>
      <c r="G14" s="13">
        <v>123024.18</v>
      </c>
      <c r="H14" s="16"/>
      <c r="I14" s="13">
        <v>15298.15</v>
      </c>
      <c r="J14" s="13">
        <f t="shared" si="1"/>
        <v>19122.6875</v>
      </c>
      <c r="K14" s="6"/>
    </row>
    <row r="15" spans="1:11" x14ac:dyDescent="0.25">
      <c r="A15" s="3">
        <v>8</v>
      </c>
      <c r="B15" s="14" t="s">
        <v>229</v>
      </c>
      <c r="C15" s="15" t="str">
        <f>"11/2013-3"</f>
        <v>11/2013-3</v>
      </c>
      <c r="D15" s="15" t="str">
        <f t="shared" si="0"/>
        <v>HRVATSKA POŠTA D.D.</v>
      </c>
      <c r="E15" s="16">
        <v>41730</v>
      </c>
      <c r="F15" s="16">
        <v>42461</v>
      </c>
      <c r="G15" s="13">
        <v>503006.38</v>
      </c>
      <c r="H15" s="16">
        <v>42461</v>
      </c>
      <c r="I15" s="13">
        <v>59851.37</v>
      </c>
      <c r="J15" s="13">
        <f t="shared" si="1"/>
        <v>74814.212500000009</v>
      </c>
      <c r="K15" s="6"/>
    </row>
    <row r="16" spans="1:11" x14ac:dyDescent="0.25">
      <c r="A16" s="3">
        <v>9</v>
      </c>
      <c r="B16" s="14" t="s">
        <v>351</v>
      </c>
      <c r="C16" s="15" t="str">
        <f>"DP-02/3-8576/14"</f>
        <v>DP-02/3-8576/14</v>
      </c>
      <c r="D16" s="15" t="str">
        <f t="shared" si="0"/>
        <v>HRVATSKA POŠTA D.D.</v>
      </c>
      <c r="E16" s="16">
        <v>41730</v>
      </c>
      <c r="F16" s="16"/>
      <c r="G16" s="13">
        <v>215209.1</v>
      </c>
      <c r="H16" s="16"/>
      <c r="I16" s="13">
        <v>51587.29</v>
      </c>
      <c r="J16" s="13">
        <f t="shared" si="1"/>
        <v>64484.112500000003</v>
      </c>
      <c r="K16" s="6"/>
    </row>
    <row r="17" spans="1:11" x14ac:dyDescent="0.25">
      <c r="A17" s="3">
        <v>10</v>
      </c>
      <c r="B17" s="14" t="s">
        <v>351</v>
      </c>
      <c r="C17" s="15" t="str">
        <f>"DP-2/3-9158/14"</f>
        <v>DP-2/3-9158/14</v>
      </c>
      <c r="D17" s="15" t="str">
        <f t="shared" si="0"/>
        <v>HRVATSKA POŠTA D.D.</v>
      </c>
      <c r="E17" s="16">
        <v>41724</v>
      </c>
      <c r="F17" s="16"/>
      <c r="G17" s="13">
        <v>187151.44</v>
      </c>
      <c r="H17" s="16"/>
      <c r="I17" s="13">
        <v>43545.65</v>
      </c>
      <c r="J17" s="13">
        <f t="shared" si="1"/>
        <v>54432.0625</v>
      </c>
      <c r="K17" s="6"/>
    </row>
    <row r="18" spans="1:11" ht="24" x14ac:dyDescent="0.25">
      <c r="A18" s="3">
        <v>11</v>
      </c>
      <c r="B18" s="14" t="s">
        <v>351</v>
      </c>
      <c r="C18" s="15" t="str">
        <f>"DP-02/3-13216/14"</f>
        <v>DP-02/3-13216/14</v>
      </c>
      <c r="D18" s="15" t="str">
        <f t="shared" si="0"/>
        <v>HRVATSKA POŠTA D.D.</v>
      </c>
      <c r="E18" s="16">
        <v>41696</v>
      </c>
      <c r="F18" s="16"/>
      <c r="G18" s="13">
        <v>25726.82</v>
      </c>
      <c r="H18" s="16"/>
      <c r="I18" s="13">
        <v>5402.96</v>
      </c>
      <c r="J18" s="13">
        <f t="shared" si="1"/>
        <v>6753.7</v>
      </c>
      <c r="K18" s="6"/>
    </row>
    <row r="19" spans="1:11" x14ac:dyDescent="0.25">
      <c r="A19" s="3">
        <v>12</v>
      </c>
      <c r="B19" s="14" t="s">
        <v>351</v>
      </c>
      <c r="C19" s="15" t="str">
        <f>"DP-02/3-9320/14"</f>
        <v>DP-02/3-9320/14</v>
      </c>
      <c r="D19" s="15" t="str">
        <f t="shared" si="0"/>
        <v>HRVATSKA POŠTA D.D.</v>
      </c>
      <c r="E19" s="16">
        <v>41740</v>
      </c>
      <c r="F19" s="16"/>
      <c r="G19" s="13">
        <v>30031.02</v>
      </c>
      <c r="H19" s="16"/>
      <c r="I19" s="13">
        <v>31627.61</v>
      </c>
      <c r="J19" s="13">
        <f t="shared" si="1"/>
        <v>39534.512499999997</v>
      </c>
      <c r="K19" s="6"/>
    </row>
    <row r="20" spans="1:11" x14ac:dyDescent="0.25">
      <c r="A20" s="3">
        <v>13</v>
      </c>
      <c r="B20" s="14" t="s">
        <v>351</v>
      </c>
      <c r="C20" s="15" t="str">
        <f>"DP-02/3-9207/14"</f>
        <v>DP-02/3-9207/14</v>
      </c>
      <c r="D20" s="15" t="str">
        <f t="shared" si="0"/>
        <v>HRVATSKA POŠTA D.D.</v>
      </c>
      <c r="E20" s="16">
        <v>41724</v>
      </c>
      <c r="F20" s="16"/>
      <c r="G20" s="13">
        <v>218232.52</v>
      </c>
      <c r="H20" s="16"/>
      <c r="I20" s="13">
        <v>47433.46</v>
      </c>
      <c r="J20" s="13">
        <f t="shared" si="1"/>
        <v>59291.824999999997</v>
      </c>
      <c r="K20" s="6"/>
    </row>
    <row r="21" spans="1:11" x14ac:dyDescent="0.25">
      <c r="A21" s="3">
        <v>14</v>
      </c>
      <c r="B21" s="14" t="s">
        <v>351</v>
      </c>
      <c r="C21" s="15" t="str">
        <f>"DP-2/3-9318/14"</f>
        <v>DP-2/3-9318/14</v>
      </c>
      <c r="D21" s="15" t="str">
        <f t="shared" si="0"/>
        <v>HRVATSKA POŠTA D.D.</v>
      </c>
      <c r="E21" s="16">
        <v>41730</v>
      </c>
      <c r="F21" s="16"/>
      <c r="G21" s="13">
        <v>81174.2</v>
      </c>
      <c r="H21" s="16"/>
      <c r="I21" s="13">
        <v>17473.11</v>
      </c>
      <c r="J21" s="13">
        <f t="shared" si="1"/>
        <v>21841.387500000001</v>
      </c>
      <c r="K21" s="6"/>
    </row>
    <row r="22" spans="1:11" x14ac:dyDescent="0.25">
      <c r="A22" s="3">
        <v>15</v>
      </c>
      <c r="B22" s="14" t="s">
        <v>621</v>
      </c>
      <c r="C22" s="15" t="str">
        <f>"41-SU-103/14"</f>
        <v>41-SU-103/14</v>
      </c>
      <c r="D22" s="15" t="str">
        <f t="shared" si="0"/>
        <v>HRVATSKA POŠTA D.D.</v>
      </c>
      <c r="E22" s="16">
        <v>41730</v>
      </c>
      <c r="F22" s="16"/>
      <c r="G22" s="13">
        <v>1549615.2</v>
      </c>
      <c r="H22" s="16"/>
      <c r="I22" s="13">
        <v>286679.88</v>
      </c>
      <c r="J22" s="13">
        <f t="shared" si="1"/>
        <v>358349.85</v>
      </c>
      <c r="K22" s="6"/>
    </row>
    <row r="23" spans="1:11" ht="24" x14ac:dyDescent="0.25">
      <c r="A23" s="3">
        <v>16</v>
      </c>
      <c r="B23" s="14" t="s">
        <v>622</v>
      </c>
      <c r="C23" s="15" t="str">
        <f>"11/2013-BM"</f>
        <v>11/2013-BM</v>
      </c>
      <c r="D23" s="15" t="str">
        <f t="shared" ref="D23:D86" si="2">CONCATENATE("HRVATSKA POŠTA D.D.")</f>
        <v>HRVATSKA POŠTA D.D.</v>
      </c>
      <c r="E23" s="16">
        <v>41738</v>
      </c>
      <c r="F23" s="16"/>
      <c r="G23" s="13">
        <v>490453.6</v>
      </c>
      <c r="H23" s="16"/>
      <c r="I23" s="13">
        <v>49364.04</v>
      </c>
      <c r="J23" s="13">
        <f t="shared" si="1"/>
        <v>61705.05</v>
      </c>
      <c r="K23" s="6"/>
    </row>
    <row r="24" spans="1:11" x14ac:dyDescent="0.25">
      <c r="A24" s="3">
        <v>17</v>
      </c>
      <c r="B24" s="14" t="s">
        <v>370</v>
      </c>
      <c r="C24" s="15" t="str">
        <f>"11/2013-4"</f>
        <v>11/2013-4</v>
      </c>
      <c r="D24" s="15" t="str">
        <f t="shared" si="2"/>
        <v>HRVATSKA POŠTA D.D.</v>
      </c>
      <c r="E24" s="16">
        <v>41754</v>
      </c>
      <c r="F24" s="16"/>
      <c r="G24" s="13">
        <v>339962.72</v>
      </c>
      <c r="H24" s="16"/>
      <c r="I24" s="13">
        <v>55911.040000000001</v>
      </c>
      <c r="J24" s="13">
        <f t="shared" si="1"/>
        <v>69888.800000000003</v>
      </c>
      <c r="K24" s="6"/>
    </row>
    <row r="25" spans="1:11" ht="24" x14ac:dyDescent="0.25">
      <c r="A25" s="3">
        <v>18</v>
      </c>
      <c r="B25" s="14" t="s">
        <v>371</v>
      </c>
      <c r="C25" s="15" t="str">
        <f>"DP-02/1-008506/14"</f>
        <v>DP-02/1-008506/14</v>
      </c>
      <c r="D25" s="15" t="str">
        <f t="shared" si="2"/>
        <v>HRVATSKA POŠTA D.D.</v>
      </c>
      <c r="E25" s="16">
        <v>41730</v>
      </c>
      <c r="F25" s="16"/>
      <c r="G25" s="13">
        <v>536561.81999999995</v>
      </c>
      <c r="H25" s="16"/>
      <c r="I25" s="13">
        <v>58913.31</v>
      </c>
      <c r="J25" s="13">
        <f t="shared" si="1"/>
        <v>73641.637499999997</v>
      </c>
      <c r="K25" s="6"/>
    </row>
    <row r="26" spans="1:11" ht="24" x14ac:dyDescent="0.25">
      <c r="A26" s="3">
        <v>19</v>
      </c>
      <c r="B26" s="14" t="s">
        <v>372</v>
      </c>
      <c r="C26" s="15" t="str">
        <f>"DP-02/1-008244/14"</f>
        <v>DP-02/1-008244/14</v>
      </c>
      <c r="D26" s="15" t="str">
        <f t="shared" si="2"/>
        <v>HRVATSKA POŠTA D.D.</v>
      </c>
      <c r="E26" s="16">
        <v>41730</v>
      </c>
      <c r="F26" s="16"/>
      <c r="G26" s="13">
        <v>904594.05</v>
      </c>
      <c r="H26" s="16"/>
      <c r="I26" s="13">
        <v>69991.37</v>
      </c>
      <c r="J26" s="13">
        <f t="shared" si="1"/>
        <v>87489.212499999994</v>
      </c>
      <c r="K26" s="6"/>
    </row>
    <row r="27" spans="1:11" ht="24" x14ac:dyDescent="0.25">
      <c r="A27" s="3">
        <v>20</v>
      </c>
      <c r="B27" s="14" t="s">
        <v>415</v>
      </c>
      <c r="C27" s="15" t="str">
        <f>"DP-02/1-009278/14"</f>
        <v>DP-02/1-009278/14</v>
      </c>
      <c r="D27" s="15" t="str">
        <f t="shared" si="2"/>
        <v>HRVATSKA POŠTA D.D.</v>
      </c>
      <c r="E27" s="16">
        <v>41730</v>
      </c>
      <c r="F27" s="16"/>
      <c r="G27" s="13">
        <v>188998.89</v>
      </c>
      <c r="H27" s="16"/>
      <c r="I27" s="13">
        <v>42602.31</v>
      </c>
      <c r="J27" s="13">
        <f t="shared" si="1"/>
        <v>53252.887499999997</v>
      </c>
      <c r="K27" s="6"/>
    </row>
    <row r="28" spans="1:11" ht="24" x14ac:dyDescent="0.25">
      <c r="A28" s="3">
        <v>21</v>
      </c>
      <c r="B28" s="14" t="s">
        <v>418</v>
      </c>
      <c r="C28" s="15" t="str">
        <f>"DP-02/1-008391/14"</f>
        <v>DP-02/1-008391/14</v>
      </c>
      <c r="D28" s="15" t="str">
        <f t="shared" si="2"/>
        <v>HRVATSKA POŠTA D.D.</v>
      </c>
      <c r="E28" s="16">
        <v>41730</v>
      </c>
      <c r="F28" s="16"/>
      <c r="G28" s="13">
        <v>239994.94</v>
      </c>
      <c r="H28" s="16"/>
      <c r="I28" s="13">
        <v>32102.76</v>
      </c>
      <c r="J28" s="13">
        <f t="shared" si="1"/>
        <v>40128.449999999997</v>
      </c>
      <c r="K28" s="6"/>
    </row>
    <row r="29" spans="1:11" ht="24" x14ac:dyDescent="0.25">
      <c r="A29" s="3">
        <v>22</v>
      </c>
      <c r="B29" s="14" t="s">
        <v>28</v>
      </c>
      <c r="C29" s="15" t="str">
        <f>"MGPU 11/2013"</f>
        <v>MGPU 11/2013</v>
      </c>
      <c r="D29" s="15" t="str">
        <f t="shared" si="2"/>
        <v>HRVATSKA POŠTA D.D.</v>
      </c>
      <c r="E29" s="16">
        <v>42005</v>
      </c>
      <c r="F29" s="16">
        <v>42369</v>
      </c>
      <c r="G29" s="13">
        <v>315635.05</v>
      </c>
      <c r="H29" s="16">
        <v>42369</v>
      </c>
      <c r="I29" s="13">
        <v>504470.16</v>
      </c>
      <c r="J29" s="13">
        <f t="shared" si="1"/>
        <v>630587.69999999995</v>
      </c>
      <c r="K29" s="6"/>
    </row>
    <row r="30" spans="1:11" ht="24" x14ac:dyDescent="0.25">
      <c r="A30" s="3">
        <v>23</v>
      </c>
      <c r="B30" s="14" t="s">
        <v>258</v>
      </c>
      <c r="C30" s="15" t="str">
        <f>"DP-02/4-011252/14"</f>
        <v>DP-02/4-011252/14</v>
      </c>
      <c r="D30" s="15" t="str">
        <f t="shared" si="2"/>
        <v>HRVATSKA POŠTA D.D.</v>
      </c>
      <c r="E30" s="16">
        <v>41810</v>
      </c>
      <c r="F30" s="16"/>
      <c r="G30" s="13">
        <v>3483380.2</v>
      </c>
      <c r="H30" s="16"/>
      <c r="I30" s="13">
        <v>2296733.61</v>
      </c>
      <c r="J30" s="13">
        <f t="shared" si="1"/>
        <v>2870917.0124999997</v>
      </c>
      <c r="K30" s="6"/>
    </row>
    <row r="31" spans="1:11" ht="24" x14ac:dyDescent="0.25">
      <c r="A31" s="3">
        <v>24</v>
      </c>
      <c r="B31" s="14" t="s">
        <v>258</v>
      </c>
      <c r="C31" s="15" t="str">
        <f>"DP-02/4-008799/14"</f>
        <v>DP-02/4-008799/14</v>
      </c>
      <c r="D31" s="15" t="str">
        <f t="shared" si="2"/>
        <v>HRVATSKA POŠTA D.D.</v>
      </c>
      <c r="E31" s="16">
        <v>41730</v>
      </c>
      <c r="F31" s="16"/>
      <c r="G31" s="13">
        <v>485669.2</v>
      </c>
      <c r="H31" s="16"/>
      <c r="I31" s="13">
        <v>241834.5</v>
      </c>
      <c r="J31" s="13">
        <f t="shared" si="1"/>
        <v>302293.125</v>
      </c>
      <c r="K31" s="6"/>
    </row>
    <row r="32" spans="1:11" ht="24" x14ac:dyDescent="0.25">
      <c r="A32" s="3">
        <v>25</v>
      </c>
      <c r="B32" s="14" t="s">
        <v>258</v>
      </c>
      <c r="C32" s="15" t="str">
        <f>"DP-02/4-008800/14"</f>
        <v>DP-02/4-008800/14</v>
      </c>
      <c r="D32" s="15" t="str">
        <f t="shared" si="2"/>
        <v>HRVATSKA POŠTA D.D.</v>
      </c>
      <c r="E32" s="16">
        <v>41726</v>
      </c>
      <c r="F32" s="16"/>
      <c r="G32" s="13">
        <v>530815.6</v>
      </c>
      <c r="H32" s="16"/>
      <c r="I32" s="13">
        <v>510215.6</v>
      </c>
      <c r="J32" s="13">
        <f t="shared" si="1"/>
        <v>637769.5</v>
      </c>
      <c r="K32" s="6"/>
    </row>
    <row r="33" spans="1:11" ht="24" x14ac:dyDescent="0.25">
      <c r="A33" s="3">
        <v>26</v>
      </c>
      <c r="B33" s="14" t="s">
        <v>623</v>
      </c>
      <c r="C33" s="15" t="str">
        <f>"17 SU-83/14"</f>
        <v>17 SU-83/14</v>
      </c>
      <c r="D33" s="15" t="str">
        <f t="shared" si="2"/>
        <v>HRVATSKA POŠTA D.D.</v>
      </c>
      <c r="E33" s="16">
        <v>41730</v>
      </c>
      <c r="F33" s="16"/>
      <c r="G33" s="13">
        <v>441576.88</v>
      </c>
      <c r="H33" s="16"/>
      <c r="I33" s="13">
        <v>175456.7</v>
      </c>
      <c r="J33" s="13">
        <f t="shared" si="1"/>
        <v>219320.875</v>
      </c>
      <c r="K33" s="6"/>
    </row>
    <row r="34" spans="1:11" ht="24" x14ac:dyDescent="0.25">
      <c r="A34" s="3">
        <v>27</v>
      </c>
      <c r="B34" s="14" t="s">
        <v>624</v>
      </c>
      <c r="C34" s="15" t="str">
        <f>"DP-02/5-11215/14"</f>
        <v>DP-02/5-11215/14</v>
      </c>
      <c r="D34" s="15" t="str">
        <f t="shared" si="2"/>
        <v>HRVATSKA POŠTA D.D.</v>
      </c>
      <c r="E34" s="16">
        <v>41730</v>
      </c>
      <c r="F34" s="16">
        <v>42461</v>
      </c>
      <c r="G34" s="13">
        <v>66953.66</v>
      </c>
      <c r="H34" s="16">
        <v>42461</v>
      </c>
      <c r="I34" s="13">
        <v>4287.51</v>
      </c>
      <c r="J34" s="13">
        <f t="shared" si="1"/>
        <v>5359.3875000000007</v>
      </c>
      <c r="K34" s="6"/>
    </row>
    <row r="35" spans="1:11" ht="24" x14ac:dyDescent="0.25">
      <c r="A35" s="3">
        <v>28</v>
      </c>
      <c r="B35" s="14" t="s">
        <v>226</v>
      </c>
      <c r="C35" s="15" t="str">
        <f>"17 SU-563/14"</f>
        <v>17 SU-563/14</v>
      </c>
      <c r="D35" s="15" t="str">
        <f t="shared" si="2"/>
        <v>HRVATSKA POŠTA D.D.</v>
      </c>
      <c r="E35" s="16">
        <v>41719</v>
      </c>
      <c r="F35" s="16"/>
      <c r="G35" s="13">
        <v>6171079.1799999997</v>
      </c>
      <c r="H35" s="16"/>
      <c r="I35" s="13">
        <v>3204511.62</v>
      </c>
      <c r="J35" s="13">
        <f t="shared" si="1"/>
        <v>4005639.5250000004</v>
      </c>
      <c r="K35" s="6"/>
    </row>
    <row r="36" spans="1:11" ht="24" x14ac:dyDescent="0.25">
      <c r="A36" s="3">
        <v>29</v>
      </c>
      <c r="B36" s="14" t="s">
        <v>322</v>
      </c>
      <c r="C36" s="15" t="str">
        <f>"11/2013-B"</f>
        <v>11/2013-B</v>
      </c>
      <c r="D36" s="15" t="str">
        <f t="shared" si="2"/>
        <v>HRVATSKA POŠTA D.D.</v>
      </c>
      <c r="E36" s="16">
        <v>41722</v>
      </c>
      <c r="F36" s="16">
        <v>42453</v>
      </c>
      <c r="G36" s="13">
        <v>79588.08</v>
      </c>
      <c r="H36" s="16">
        <v>42453</v>
      </c>
      <c r="I36" s="13">
        <v>30461.98</v>
      </c>
      <c r="J36" s="13">
        <f t="shared" si="1"/>
        <v>38077.474999999999</v>
      </c>
      <c r="K36" s="6"/>
    </row>
    <row r="37" spans="1:11" ht="24" x14ac:dyDescent="0.25">
      <c r="A37" s="3">
        <v>30</v>
      </c>
      <c r="B37" s="14" t="s">
        <v>339</v>
      </c>
      <c r="C37" s="15" t="str">
        <f>"11/2013-B2"</f>
        <v>11/2013-B2</v>
      </c>
      <c r="D37" s="15" t="str">
        <f t="shared" si="2"/>
        <v>HRVATSKA POŠTA D.D.</v>
      </c>
      <c r="E37" s="16">
        <v>41673</v>
      </c>
      <c r="F37" s="16">
        <v>42403</v>
      </c>
      <c r="G37" s="13">
        <v>80541.600000000006</v>
      </c>
      <c r="H37" s="16">
        <v>42403</v>
      </c>
      <c r="I37" s="13">
        <v>84692.17</v>
      </c>
      <c r="J37" s="13">
        <f t="shared" si="1"/>
        <v>105865.21249999999</v>
      </c>
      <c r="K37" s="6"/>
    </row>
    <row r="38" spans="1:11" ht="24" x14ac:dyDescent="0.25">
      <c r="A38" s="3">
        <v>31</v>
      </c>
      <c r="B38" s="14" t="s">
        <v>27</v>
      </c>
      <c r="C38" s="15" t="str">
        <f>"44359/14"</f>
        <v>44359/14</v>
      </c>
      <c r="D38" s="15" t="str">
        <f t="shared" si="2"/>
        <v>HRVATSKA POŠTA D.D.</v>
      </c>
      <c r="E38" s="16">
        <v>41758</v>
      </c>
      <c r="F38" s="16"/>
      <c r="G38" s="13">
        <v>4394784.84</v>
      </c>
      <c r="H38" s="16"/>
      <c r="I38" s="13">
        <v>4394784.84</v>
      </c>
      <c r="J38" s="13">
        <f t="shared" si="1"/>
        <v>5493481.0499999998</v>
      </c>
      <c r="K38" s="6"/>
    </row>
    <row r="39" spans="1:11" x14ac:dyDescent="0.25">
      <c r="A39" s="3">
        <v>32</v>
      </c>
      <c r="B39" s="14" t="s">
        <v>394</v>
      </c>
      <c r="C39" s="15" t="str">
        <f>"SU-99/14"</f>
        <v>SU-99/14</v>
      </c>
      <c r="D39" s="15" t="str">
        <f t="shared" si="2"/>
        <v>HRVATSKA POŠTA D.D.</v>
      </c>
      <c r="E39" s="16">
        <v>41730</v>
      </c>
      <c r="F39" s="16"/>
      <c r="G39" s="13">
        <v>243775.46</v>
      </c>
      <c r="H39" s="16"/>
      <c r="I39" s="13">
        <v>59545.87</v>
      </c>
      <c r="J39" s="13">
        <f t="shared" si="1"/>
        <v>74432.337500000009</v>
      </c>
      <c r="K39" s="6"/>
    </row>
    <row r="40" spans="1:11" ht="24" x14ac:dyDescent="0.25">
      <c r="A40" s="3">
        <v>33</v>
      </c>
      <c r="B40" s="14" t="s">
        <v>334</v>
      </c>
      <c r="C40" s="15" t="str">
        <f>"11/2013 - OKSZG"</f>
        <v>11/2013 - OKSZG</v>
      </c>
      <c r="D40" s="15" t="str">
        <f t="shared" si="2"/>
        <v>HRVATSKA POŠTA D.D.</v>
      </c>
      <c r="E40" s="16">
        <v>41673</v>
      </c>
      <c r="F40" s="16"/>
      <c r="G40" s="13">
        <v>1692221.2</v>
      </c>
      <c r="H40" s="16"/>
      <c r="I40" s="13">
        <v>560408.1</v>
      </c>
      <c r="J40" s="13">
        <f t="shared" si="1"/>
        <v>700510.125</v>
      </c>
      <c r="K40" s="6"/>
    </row>
    <row r="41" spans="1:11" x14ac:dyDescent="0.25">
      <c r="A41" s="3">
        <v>34</v>
      </c>
      <c r="B41" s="14" t="s">
        <v>315</v>
      </c>
      <c r="C41" s="15" t="str">
        <f>"123/14"</f>
        <v>123/14</v>
      </c>
      <c r="D41" s="15" t="str">
        <f t="shared" si="2"/>
        <v>HRVATSKA POŠTA D.D.</v>
      </c>
      <c r="E41" s="16">
        <v>41723</v>
      </c>
      <c r="F41" s="16">
        <v>42460</v>
      </c>
      <c r="G41" s="13">
        <v>59703.32</v>
      </c>
      <c r="H41" s="16">
        <v>42460</v>
      </c>
      <c r="I41" s="13">
        <v>52447.11</v>
      </c>
      <c r="J41" s="13">
        <f t="shared" si="1"/>
        <v>65558.887499999997</v>
      </c>
      <c r="K41" s="6"/>
    </row>
    <row r="42" spans="1:11" x14ac:dyDescent="0.25">
      <c r="A42" s="3">
        <v>35</v>
      </c>
      <c r="B42" s="14" t="s">
        <v>161</v>
      </c>
      <c r="C42" s="15" t="str">
        <f>"1/14"</f>
        <v>1/14</v>
      </c>
      <c r="D42" s="15" t="str">
        <f t="shared" si="2"/>
        <v>HRVATSKA POŠTA D.D.</v>
      </c>
      <c r="E42" s="16">
        <v>41730</v>
      </c>
      <c r="F42" s="16"/>
      <c r="G42" s="13">
        <v>1673162</v>
      </c>
      <c r="H42" s="16"/>
      <c r="I42" s="13">
        <v>930806</v>
      </c>
      <c r="J42" s="13">
        <f t="shared" si="1"/>
        <v>1163507.5</v>
      </c>
      <c r="K42" s="6"/>
    </row>
    <row r="43" spans="1:11" ht="24" x14ac:dyDescent="0.25">
      <c r="A43" s="3">
        <v>36</v>
      </c>
      <c r="B43" s="14" t="s">
        <v>45</v>
      </c>
      <c r="C43" s="15" t="str">
        <f>"11/2013-U2"</f>
        <v>11/2013-U2</v>
      </c>
      <c r="D43" s="15" t="str">
        <f t="shared" si="2"/>
        <v>HRVATSKA POŠTA D.D.</v>
      </c>
      <c r="E43" s="16">
        <v>42079</v>
      </c>
      <c r="F43" s="16"/>
      <c r="G43" s="13">
        <v>321112.12</v>
      </c>
      <c r="H43" s="16"/>
      <c r="I43" s="13">
        <v>218390.37</v>
      </c>
      <c r="J43" s="13">
        <f t="shared" si="1"/>
        <v>272987.96250000002</v>
      </c>
      <c r="K43" s="6"/>
    </row>
    <row r="44" spans="1:11" ht="24" x14ac:dyDescent="0.25">
      <c r="A44" s="3">
        <v>37</v>
      </c>
      <c r="B44" s="14" t="s">
        <v>32</v>
      </c>
      <c r="C44" s="15" t="str">
        <f>"920-07/14-13/16"</f>
        <v>920-07/14-13/16</v>
      </c>
      <c r="D44" s="15" t="str">
        <f t="shared" si="2"/>
        <v>HRVATSKA POŠTA D.D.</v>
      </c>
      <c r="E44" s="16">
        <v>41736</v>
      </c>
      <c r="F44" s="16"/>
      <c r="G44" s="13">
        <v>334312.7</v>
      </c>
      <c r="H44" s="16"/>
      <c r="I44" s="13">
        <v>118292.91</v>
      </c>
      <c r="J44" s="13">
        <f t="shared" si="1"/>
        <v>147866.13750000001</v>
      </c>
      <c r="K44" s="6"/>
    </row>
    <row r="45" spans="1:11" ht="24" x14ac:dyDescent="0.25">
      <c r="A45" s="3">
        <v>38</v>
      </c>
      <c r="B45" s="14" t="s">
        <v>45</v>
      </c>
      <c r="C45" s="15" t="str">
        <f>"11/2013-U1"</f>
        <v>11/2013-U1</v>
      </c>
      <c r="D45" s="15" t="str">
        <f t="shared" si="2"/>
        <v>HRVATSKA POŠTA D.D.</v>
      </c>
      <c r="E45" s="16">
        <v>41699</v>
      </c>
      <c r="F45" s="16"/>
      <c r="G45" s="13">
        <v>284509.44</v>
      </c>
      <c r="H45" s="16"/>
      <c r="I45" s="13">
        <v>283083</v>
      </c>
      <c r="J45" s="13">
        <f t="shared" si="1"/>
        <v>353853.75</v>
      </c>
      <c r="K45" s="6"/>
    </row>
    <row r="46" spans="1:11" ht="24" x14ac:dyDescent="0.25">
      <c r="A46" s="3">
        <v>39</v>
      </c>
      <c r="B46" s="14" t="s">
        <v>313</v>
      </c>
      <c r="C46" s="15" t="str">
        <f>"DP-02/1-009834/14"</f>
        <v>DP-02/1-009834/14</v>
      </c>
      <c r="D46" s="15" t="str">
        <f t="shared" si="2"/>
        <v>HRVATSKA POŠTA D.D.</v>
      </c>
      <c r="E46" s="16">
        <v>41733</v>
      </c>
      <c r="F46" s="16">
        <v>42403</v>
      </c>
      <c r="G46" s="13">
        <v>437703</v>
      </c>
      <c r="H46" s="16">
        <v>42403</v>
      </c>
      <c r="I46" s="13">
        <v>72823.509999999995</v>
      </c>
      <c r="J46" s="13">
        <f t="shared" si="1"/>
        <v>91029.387499999997</v>
      </c>
      <c r="K46" s="6"/>
    </row>
    <row r="47" spans="1:11" x14ac:dyDescent="0.25">
      <c r="A47" s="3">
        <v>40</v>
      </c>
      <c r="B47" s="14" t="s">
        <v>193</v>
      </c>
      <c r="C47" s="15" t="str">
        <f>"DP-02/2-8920/14"</f>
        <v>DP-02/2-8920/14</v>
      </c>
      <c r="D47" s="15" t="str">
        <f t="shared" si="2"/>
        <v>HRVATSKA POŠTA D.D.</v>
      </c>
      <c r="E47" s="16">
        <v>42095</v>
      </c>
      <c r="F47" s="16"/>
      <c r="G47" s="13">
        <v>2450644.6800000002</v>
      </c>
      <c r="H47" s="16"/>
      <c r="I47" s="13">
        <v>915704.78</v>
      </c>
      <c r="J47" s="13">
        <f t="shared" si="1"/>
        <v>1144630.9750000001</v>
      </c>
      <c r="K47" s="6"/>
    </row>
    <row r="48" spans="1:11" x14ac:dyDescent="0.25">
      <c r="A48" s="3">
        <v>41</v>
      </c>
      <c r="B48" s="14" t="s">
        <v>257</v>
      </c>
      <c r="C48" s="15" t="str">
        <f>"E-11/2013"</f>
        <v>E-11/2013</v>
      </c>
      <c r="D48" s="15" t="str">
        <f t="shared" si="2"/>
        <v>HRVATSKA POŠTA D.D.</v>
      </c>
      <c r="E48" s="16">
        <v>41754</v>
      </c>
      <c r="F48" s="16"/>
      <c r="G48" s="13">
        <v>249616999.19999999</v>
      </c>
      <c r="H48" s="16"/>
      <c r="I48" s="13">
        <v>547248.81999999995</v>
      </c>
      <c r="J48" s="13">
        <f t="shared" si="1"/>
        <v>684061.02499999991</v>
      </c>
      <c r="K48" s="6"/>
    </row>
    <row r="49" spans="1:11" ht="24" x14ac:dyDescent="0.25">
      <c r="A49" s="3">
        <v>42</v>
      </c>
      <c r="B49" s="14" t="s">
        <v>340</v>
      </c>
      <c r="C49" s="15" t="str">
        <f>"DP-2/2-09293/14"</f>
        <v>DP-2/2-09293/14</v>
      </c>
      <c r="D49" s="15" t="str">
        <f t="shared" si="2"/>
        <v>HRVATSKA POŠTA D.D.</v>
      </c>
      <c r="E49" s="16">
        <v>41730</v>
      </c>
      <c r="F49" s="16">
        <v>42461</v>
      </c>
      <c r="G49" s="13">
        <v>147268.42000000001</v>
      </c>
      <c r="H49" s="16">
        <v>42461</v>
      </c>
      <c r="I49" s="13">
        <v>70855.27</v>
      </c>
      <c r="J49" s="13">
        <f t="shared" si="1"/>
        <v>88569.087500000009</v>
      </c>
      <c r="K49" s="6"/>
    </row>
    <row r="50" spans="1:11" ht="24" x14ac:dyDescent="0.25">
      <c r="A50" s="3">
        <v>43</v>
      </c>
      <c r="B50" s="14" t="s">
        <v>42</v>
      </c>
      <c r="C50" s="15" t="str">
        <f>"SNUG-204-14-0015"</f>
        <v>SNUG-204-14-0015</v>
      </c>
      <c r="D50" s="15" t="str">
        <f t="shared" si="2"/>
        <v>HRVATSKA POŠTA D.D.</v>
      </c>
      <c r="E50" s="16">
        <v>41738</v>
      </c>
      <c r="F50" s="16"/>
      <c r="G50" s="13">
        <v>351936</v>
      </c>
      <c r="H50" s="16"/>
      <c r="I50" s="13">
        <v>351936.16</v>
      </c>
      <c r="J50" s="13">
        <f t="shared" si="1"/>
        <v>439920.19999999995</v>
      </c>
      <c r="K50" s="6"/>
    </row>
    <row r="51" spans="1:11" ht="24" x14ac:dyDescent="0.25">
      <c r="A51" s="3">
        <v>44</v>
      </c>
      <c r="B51" s="14" t="s">
        <v>280</v>
      </c>
      <c r="C51" s="15" t="str">
        <f>"DP-02/6-8448/14"</f>
        <v>DP-02/6-8448/14</v>
      </c>
      <c r="D51" s="15" t="str">
        <f t="shared" si="2"/>
        <v>HRVATSKA POŠTA D.D.</v>
      </c>
      <c r="E51" s="16">
        <v>41729</v>
      </c>
      <c r="F51" s="16"/>
      <c r="G51" s="13">
        <v>197410.7</v>
      </c>
      <c r="H51" s="16"/>
      <c r="I51" s="13">
        <v>165062.41</v>
      </c>
      <c r="J51" s="13">
        <f t="shared" si="1"/>
        <v>206328.01250000001</v>
      </c>
      <c r="K51" s="6"/>
    </row>
    <row r="52" spans="1:11" x14ac:dyDescent="0.25">
      <c r="A52" s="3">
        <v>45</v>
      </c>
      <c r="B52" s="14" t="s">
        <v>366</v>
      </c>
      <c r="C52" s="15" t="str">
        <f>"DP-02/4-8951/14"</f>
        <v>DP-02/4-8951/14</v>
      </c>
      <c r="D52" s="15" t="str">
        <f t="shared" si="2"/>
        <v>HRVATSKA POŠTA D.D.</v>
      </c>
      <c r="E52" s="16">
        <v>41723</v>
      </c>
      <c r="F52" s="16"/>
      <c r="G52" s="13">
        <v>892371.54</v>
      </c>
      <c r="H52" s="16"/>
      <c r="I52" s="13">
        <v>466348.31</v>
      </c>
      <c r="J52" s="13">
        <f t="shared" si="1"/>
        <v>582935.38749999995</v>
      </c>
      <c r="K52" s="6"/>
    </row>
    <row r="53" spans="1:11" x14ac:dyDescent="0.25">
      <c r="A53" s="3">
        <v>46</v>
      </c>
      <c r="B53" s="14" t="s">
        <v>26</v>
      </c>
      <c r="C53" s="15" t="str">
        <f>"1"</f>
        <v>1</v>
      </c>
      <c r="D53" s="15" t="str">
        <f t="shared" si="2"/>
        <v>HRVATSKA POŠTA D.D.</v>
      </c>
      <c r="E53" s="16">
        <v>42320</v>
      </c>
      <c r="F53" s="16">
        <v>42403</v>
      </c>
      <c r="G53" s="13">
        <v>33178.519999999997</v>
      </c>
      <c r="H53" s="16">
        <v>42403</v>
      </c>
      <c r="I53" s="13">
        <v>33178.519999999997</v>
      </c>
      <c r="J53" s="13">
        <f t="shared" si="1"/>
        <v>41473.149999999994</v>
      </c>
      <c r="K53" s="6"/>
    </row>
    <row r="54" spans="1:11" ht="24" x14ac:dyDescent="0.25">
      <c r="A54" s="3">
        <v>47</v>
      </c>
      <c r="B54" s="14" t="s">
        <v>332</v>
      </c>
      <c r="C54" s="15" t="str">
        <f>"DP-02/5-8736/14"</f>
        <v>DP-02/5-8736/14</v>
      </c>
      <c r="D54" s="15" t="str">
        <f t="shared" si="2"/>
        <v>HRVATSKA POŠTA D.D.</v>
      </c>
      <c r="E54" s="16">
        <v>41729</v>
      </c>
      <c r="F54" s="16"/>
      <c r="G54" s="13">
        <v>38751.480000000003</v>
      </c>
      <c r="H54" s="16"/>
      <c r="I54" s="13">
        <v>19289.52</v>
      </c>
      <c r="J54" s="13">
        <f t="shared" si="1"/>
        <v>24111.9</v>
      </c>
      <c r="K54" s="6"/>
    </row>
    <row r="55" spans="1:11" ht="24" x14ac:dyDescent="0.25">
      <c r="A55" s="3">
        <v>48</v>
      </c>
      <c r="B55" s="14" t="s">
        <v>349</v>
      </c>
      <c r="C55" s="15" t="str">
        <f>"DP-02/5-899/14"</f>
        <v>DP-02/5-899/14</v>
      </c>
      <c r="D55" s="15" t="str">
        <f t="shared" si="2"/>
        <v>HRVATSKA POŠTA D.D.</v>
      </c>
      <c r="E55" s="16">
        <v>42149</v>
      </c>
      <c r="F55" s="16"/>
      <c r="G55" s="13">
        <v>167210.14000000001</v>
      </c>
      <c r="H55" s="16"/>
      <c r="I55" s="13">
        <v>73494.31</v>
      </c>
      <c r="J55" s="13">
        <f t="shared" si="1"/>
        <v>91867.887499999997</v>
      </c>
      <c r="K55" s="6"/>
    </row>
    <row r="56" spans="1:11" ht="24" x14ac:dyDescent="0.25">
      <c r="A56" s="3">
        <v>49</v>
      </c>
      <c r="B56" s="14" t="s">
        <v>349</v>
      </c>
      <c r="C56" s="15" t="str">
        <f>"DP-02/5-8990/14"</f>
        <v>DP-02/5-8990/14</v>
      </c>
      <c r="D56" s="15" t="str">
        <f t="shared" si="2"/>
        <v>HRVATSKA POŠTA D.D.</v>
      </c>
      <c r="E56" s="16">
        <v>41726</v>
      </c>
      <c r="F56" s="16"/>
      <c r="G56" s="13">
        <v>188407</v>
      </c>
      <c r="H56" s="16"/>
      <c r="I56" s="13">
        <v>9166.92</v>
      </c>
      <c r="J56" s="13">
        <f t="shared" si="1"/>
        <v>11458.65</v>
      </c>
      <c r="K56" s="6"/>
    </row>
    <row r="57" spans="1:11" ht="24" x14ac:dyDescent="0.25">
      <c r="A57" s="3">
        <v>50</v>
      </c>
      <c r="B57" s="14" t="s">
        <v>323</v>
      </c>
      <c r="C57" s="15" t="str">
        <f>"DP-02/3-8860/14"</f>
        <v>DP-02/3-8860/14</v>
      </c>
      <c r="D57" s="15" t="str">
        <f t="shared" si="2"/>
        <v>HRVATSKA POŠTA D.D.</v>
      </c>
      <c r="E57" s="16">
        <v>41730</v>
      </c>
      <c r="F57" s="16">
        <v>42461</v>
      </c>
      <c r="G57" s="13">
        <v>11157.45</v>
      </c>
      <c r="H57" s="16">
        <v>42461</v>
      </c>
      <c r="I57" s="13">
        <v>11157.45</v>
      </c>
      <c r="J57" s="13">
        <f t="shared" si="1"/>
        <v>13946.8125</v>
      </c>
      <c r="K57" s="6"/>
    </row>
    <row r="58" spans="1:11" ht="24" x14ac:dyDescent="0.25">
      <c r="A58" s="3">
        <v>51</v>
      </c>
      <c r="B58" s="14" t="s">
        <v>351</v>
      </c>
      <c r="C58" s="15" t="str">
        <f>"DP-02/9/3-20761/2015"</f>
        <v>DP-02/9/3-20761/2015</v>
      </c>
      <c r="D58" s="15" t="str">
        <f t="shared" si="2"/>
        <v>HRVATSKA POŠTA D.D.</v>
      </c>
      <c r="E58" s="16">
        <v>42216</v>
      </c>
      <c r="F58" s="16">
        <v>42582</v>
      </c>
      <c r="G58" s="13">
        <v>15000</v>
      </c>
      <c r="H58" s="16">
        <v>42582</v>
      </c>
      <c r="I58" s="13">
        <v>3045.8</v>
      </c>
      <c r="J58" s="13">
        <f t="shared" si="1"/>
        <v>3807.25</v>
      </c>
      <c r="K58" s="6"/>
    </row>
    <row r="59" spans="1:11" ht="24" x14ac:dyDescent="0.25">
      <c r="A59" s="3">
        <v>52</v>
      </c>
      <c r="B59" s="14" t="s">
        <v>351</v>
      </c>
      <c r="C59" s="15" t="str">
        <f>"DP-02/9/3-205121/2015"</f>
        <v>DP-02/9/3-205121/2015</v>
      </c>
      <c r="D59" s="15" t="str">
        <f t="shared" si="2"/>
        <v>HRVATSKA POŠTA D.D.</v>
      </c>
      <c r="E59" s="16">
        <v>42216</v>
      </c>
      <c r="F59" s="16"/>
      <c r="G59" s="13">
        <v>2164449.38</v>
      </c>
      <c r="H59" s="16"/>
      <c r="I59" s="13">
        <v>226751.09</v>
      </c>
      <c r="J59" s="13">
        <f t="shared" si="1"/>
        <v>283438.86249999999</v>
      </c>
      <c r="K59" s="6"/>
    </row>
    <row r="60" spans="1:11" x14ac:dyDescent="0.25">
      <c r="A60" s="3">
        <v>53</v>
      </c>
      <c r="B60" s="14" t="s">
        <v>351</v>
      </c>
      <c r="C60" s="15" t="str">
        <f>"DP-2/3-8574/14"</f>
        <v>DP-2/3-8574/14</v>
      </c>
      <c r="D60" s="15" t="str">
        <f t="shared" si="2"/>
        <v>HRVATSKA POŠTA D.D.</v>
      </c>
      <c r="E60" s="16">
        <v>41724</v>
      </c>
      <c r="F60" s="16"/>
      <c r="G60" s="13">
        <v>1812766.32</v>
      </c>
      <c r="H60" s="16"/>
      <c r="I60" s="13">
        <v>371657.07</v>
      </c>
      <c r="J60" s="13">
        <f t="shared" si="1"/>
        <v>464571.33750000002</v>
      </c>
      <c r="K60" s="6"/>
    </row>
    <row r="61" spans="1:11" ht="24" x14ac:dyDescent="0.25">
      <c r="A61" s="3">
        <v>54</v>
      </c>
      <c r="B61" s="14" t="s">
        <v>227</v>
      </c>
      <c r="C61" s="15" t="str">
        <f>"116/2014"</f>
        <v>116/2014</v>
      </c>
      <c r="D61" s="15" t="str">
        <f t="shared" si="2"/>
        <v>HRVATSKA POŠTA D.D.</v>
      </c>
      <c r="E61" s="16">
        <v>41757</v>
      </c>
      <c r="F61" s="16"/>
      <c r="G61" s="13">
        <v>1154229.8500000001</v>
      </c>
      <c r="H61" s="16"/>
      <c r="I61" s="13">
        <v>547759.92000000004</v>
      </c>
      <c r="J61" s="13">
        <f t="shared" si="1"/>
        <v>684699.9</v>
      </c>
      <c r="K61" s="6"/>
    </row>
    <row r="62" spans="1:11" ht="24" x14ac:dyDescent="0.25">
      <c r="A62" s="3">
        <v>55</v>
      </c>
      <c r="B62" s="14" t="s">
        <v>412</v>
      </c>
      <c r="C62" s="15" t="str">
        <f>"DP-02/9/3-14271/15"</f>
        <v>DP-02/9/3-14271/15</v>
      </c>
      <c r="D62" s="15" t="str">
        <f t="shared" si="2"/>
        <v>HRVATSKA POŠTA D.D.</v>
      </c>
      <c r="E62" s="16">
        <v>41730</v>
      </c>
      <c r="F62" s="16"/>
      <c r="G62" s="13">
        <v>75856.14</v>
      </c>
      <c r="H62" s="16"/>
      <c r="I62" s="13">
        <v>75856.14</v>
      </c>
      <c r="J62" s="13">
        <f t="shared" si="1"/>
        <v>94820.175000000003</v>
      </c>
      <c r="K62" s="6"/>
    </row>
    <row r="63" spans="1:11" x14ac:dyDescent="0.25">
      <c r="A63" s="3">
        <v>56</v>
      </c>
      <c r="B63" s="14" t="s">
        <v>397</v>
      </c>
      <c r="C63" s="15" t="str">
        <f>"16/2015-11/13"</f>
        <v>16/2015-11/13</v>
      </c>
      <c r="D63" s="15" t="str">
        <f t="shared" si="2"/>
        <v>HRVATSKA POŠTA D.D.</v>
      </c>
      <c r="E63" s="16">
        <v>41725</v>
      </c>
      <c r="F63" s="16"/>
      <c r="G63" s="13">
        <v>151210</v>
      </c>
      <c r="H63" s="16"/>
      <c r="I63" s="13">
        <v>151210</v>
      </c>
      <c r="J63" s="13">
        <f t="shared" si="1"/>
        <v>189012.5</v>
      </c>
      <c r="K63" s="6"/>
    </row>
    <row r="64" spans="1:11" ht="24" x14ac:dyDescent="0.25">
      <c r="A64" s="3">
        <v>57</v>
      </c>
      <c r="B64" s="14" t="s">
        <v>398</v>
      </c>
      <c r="C64" s="15" t="str">
        <f>"DP-02/5-9548/14"</f>
        <v>DP-02/5-9548/14</v>
      </c>
      <c r="D64" s="15" t="str">
        <f t="shared" si="2"/>
        <v>HRVATSKA POŠTA D.D.</v>
      </c>
      <c r="E64" s="16">
        <v>41738</v>
      </c>
      <c r="F64" s="16">
        <v>42469</v>
      </c>
      <c r="G64" s="13">
        <v>41584.71</v>
      </c>
      <c r="H64" s="16">
        <v>42469</v>
      </c>
      <c r="I64" s="13">
        <v>21647.64</v>
      </c>
      <c r="J64" s="13">
        <f t="shared" si="1"/>
        <v>27059.55</v>
      </c>
      <c r="K64" s="6"/>
    </row>
    <row r="65" spans="1:11" ht="36" x14ac:dyDescent="0.25">
      <c r="A65" s="3">
        <v>58</v>
      </c>
      <c r="B65" s="14" t="s">
        <v>404</v>
      </c>
      <c r="C65" s="15" t="str">
        <f>"A-51/14"</f>
        <v>A-51/14</v>
      </c>
      <c r="D65" s="15" t="str">
        <f t="shared" si="2"/>
        <v>HRVATSKA POŠTA D.D.</v>
      </c>
      <c r="E65" s="16">
        <v>41754</v>
      </c>
      <c r="F65" s="16"/>
      <c r="G65" s="13">
        <v>105404.7</v>
      </c>
      <c r="H65" s="16"/>
      <c r="I65" s="13">
        <v>55849.47</v>
      </c>
      <c r="J65" s="13">
        <f t="shared" si="1"/>
        <v>69811.837499999994</v>
      </c>
      <c r="K65" s="6"/>
    </row>
    <row r="66" spans="1:11" ht="24" x14ac:dyDescent="0.25">
      <c r="A66" s="3">
        <v>59</v>
      </c>
      <c r="B66" s="14" t="s">
        <v>348</v>
      </c>
      <c r="C66" s="15" t="str">
        <f>"DP-02/5-8502/14"</f>
        <v>DP-02/5-8502/14</v>
      </c>
      <c r="D66" s="15" t="str">
        <f t="shared" si="2"/>
        <v>HRVATSKA POŠTA D.D.</v>
      </c>
      <c r="E66" s="16">
        <v>41730</v>
      </c>
      <c r="F66" s="16">
        <v>42461</v>
      </c>
      <c r="G66" s="13">
        <v>7995.04</v>
      </c>
      <c r="H66" s="16">
        <v>42461</v>
      </c>
      <c r="I66" s="13">
        <v>55645.08</v>
      </c>
      <c r="J66" s="13">
        <f t="shared" si="1"/>
        <v>69556.350000000006</v>
      </c>
      <c r="K66" s="6"/>
    </row>
    <row r="67" spans="1:11" ht="24" x14ac:dyDescent="0.25">
      <c r="A67" s="3">
        <v>60</v>
      </c>
      <c r="B67" s="14" t="s">
        <v>329</v>
      </c>
      <c r="C67" s="15" t="str">
        <f>"DP-02-21489/13"</f>
        <v>DP-02-21489/13</v>
      </c>
      <c r="D67" s="15" t="str">
        <f t="shared" si="2"/>
        <v>HRVATSKA POŠTA D.D.</v>
      </c>
      <c r="E67" s="16">
        <v>41606</v>
      </c>
      <c r="F67" s="16"/>
      <c r="G67" s="13">
        <v>78589.440000000002</v>
      </c>
      <c r="H67" s="16"/>
      <c r="I67" s="13">
        <v>30476.240000000002</v>
      </c>
      <c r="J67" s="13">
        <f t="shared" si="1"/>
        <v>38095.300000000003</v>
      </c>
      <c r="K67" s="6"/>
    </row>
    <row r="68" spans="1:11" ht="24" x14ac:dyDescent="0.25">
      <c r="A68" s="3">
        <v>61</v>
      </c>
      <c r="B68" s="14" t="s">
        <v>327</v>
      </c>
      <c r="C68" s="15" t="str">
        <f>"DP-02/2-1317/15"</f>
        <v>DP-02/2-1317/15</v>
      </c>
      <c r="D68" s="15" t="str">
        <f t="shared" si="2"/>
        <v>HRVATSKA POŠTA D.D.</v>
      </c>
      <c r="E68" s="16">
        <v>42024</v>
      </c>
      <c r="F68" s="16"/>
      <c r="G68" s="13">
        <v>17303.47</v>
      </c>
      <c r="H68" s="16"/>
      <c r="I68" s="13">
        <v>17069.73</v>
      </c>
      <c r="J68" s="13">
        <f t="shared" si="1"/>
        <v>21337.162499999999</v>
      </c>
      <c r="K68" s="6"/>
    </row>
    <row r="69" spans="1:11" ht="24" x14ac:dyDescent="0.25">
      <c r="A69" s="3">
        <v>62</v>
      </c>
      <c r="B69" s="14" t="s">
        <v>625</v>
      </c>
      <c r="C69" s="15" t="str">
        <f>"DP-02/6-9412-2/14"</f>
        <v>DP-02/6-9412-2/14</v>
      </c>
      <c r="D69" s="15" t="str">
        <f t="shared" si="2"/>
        <v>HRVATSKA POŠTA D.D.</v>
      </c>
      <c r="E69" s="16">
        <v>41744</v>
      </c>
      <c r="F69" s="16"/>
      <c r="G69" s="13">
        <v>238768.74</v>
      </c>
      <c r="H69" s="16"/>
      <c r="I69" s="13">
        <v>266981.87</v>
      </c>
      <c r="J69" s="13">
        <f t="shared" si="1"/>
        <v>333727.33750000002</v>
      </c>
      <c r="K69" s="6"/>
    </row>
    <row r="70" spans="1:11" ht="24" x14ac:dyDescent="0.25">
      <c r="A70" s="3">
        <v>63</v>
      </c>
      <c r="B70" s="14" t="s">
        <v>344</v>
      </c>
      <c r="C70" s="15" t="str">
        <f>"DP-02/5-8496/14"</f>
        <v>DP-02/5-8496/14</v>
      </c>
      <c r="D70" s="15" t="str">
        <f t="shared" si="2"/>
        <v>HRVATSKA POŠTA D.D.</v>
      </c>
      <c r="E70" s="16">
        <v>41729</v>
      </c>
      <c r="F70" s="16"/>
      <c r="G70" s="13">
        <v>128355.1</v>
      </c>
      <c r="H70" s="16"/>
      <c r="I70" s="13">
        <v>110100.13</v>
      </c>
      <c r="J70" s="13">
        <f t="shared" si="1"/>
        <v>137625.16250000001</v>
      </c>
      <c r="K70" s="6"/>
    </row>
    <row r="71" spans="1:11" ht="24" x14ac:dyDescent="0.25">
      <c r="A71" s="3">
        <v>64</v>
      </c>
      <c r="B71" s="14" t="s">
        <v>31</v>
      </c>
      <c r="C71" s="15" t="str">
        <f>"U009/15"</f>
        <v>U009/15</v>
      </c>
      <c r="D71" s="15" t="str">
        <f t="shared" si="2"/>
        <v>HRVATSKA POŠTA D.D.</v>
      </c>
      <c r="E71" s="16">
        <v>42065</v>
      </c>
      <c r="F71" s="16"/>
      <c r="G71" s="13">
        <v>202792.2</v>
      </c>
      <c r="H71" s="16"/>
      <c r="I71" s="13">
        <v>156143.66</v>
      </c>
      <c r="J71" s="13">
        <f t="shared" si="1"/>
        <v>195179.57500000001</v>
      </c>
      <c r="K71" s="6"/>
    </row>
    <row r="72" spans="1:11" x14ac:dyDescent="0.25">
      <c r="A72" s="3">
        <v>65</v>
      </c>
      <c r="B72" s="14" t="s">
        <v>276</v>
      </c>
      <c r="C72" s="15" t="str">
        <f>"353/13"</f>
        <v>353/13</v>
      </c>
      <c r="D72" s="15" t="str">
        <f t="shared" si="2"/>
        <v>HRVATSKA POŠTA D.D.</v>
      </c>
      <c r="E72" s="16">
        <v>41730</v>
      </c>
      <c r="F72" s="16"/>
      <c r="G72" s="13">
        <v>658639.43999999994</v>
      </c>
      <c r="H72" s="16"/>
      <c r="I72" s="13">
        <v>292128.73</v>
      </c>
      <c r="J72" s="13">
        <f t="shared" si="1"/>
        <v>365160.91249999998</v>
      </c>
      <c r="K72" s="6"/>
    </row>
    <row r="73" spans="1:11" ht="24" x14ac:dyDescent="0.25">
      <c r="A73" s="3">
        <v>66</v>
      </c>
      <c r="B73" s="14" t="s">
        <v>254</v>
      </c>
      <c r="C73" s="15" t="str">
        <f>"DP-02/9/2-14152/15"</f>
        <v>DP-02/9/2-14152/15</v>
      </c>
      <c r="D73" s="15" t="str">
        <f t="shared" si="2"/>
        <v>HRVATSKA POŠTA D.D.</v>
      </c>
      <c r="E73" s="16">
        <v>41760</v>
      </c>
      <c r="F73" s="16"/>
      <c r="G73" s="13">
        <v>124749.86</v>
      </c>
      <c r="H73" s="16"/>
      <c r="I73" s="13">
        <v>80807.09</v>
      </c>
      <c r="J73" s="13">
        <f t="shared" ref="J73:J136" si="3">I73*1.25</f>
        <v>101008.86249999999</v>
      </c>
      <c r="K73" s="6"/>
    </row>
    <row r="74" spans="1:11" x14ac:dyDescent="0.25">
      <c r="A74" s="3">
        <v>67</v>
      </c>
      <c r="B74" s="14"/>
      <c r="C74" s="15" t="str">
        <f>"DP-02/5-8757/14"</f>
        <v>DP-02/5-8757/14</v>
      </c>
      <c r="D74" s="15" t="str">
        <f t="shared" si="2"/>
        <v>HRVATSKA POŠTA D.D.</v>
      </c>
      <c r="E74" s="16">
        <v>41738</v>
      </c>
      <c r="F74" s="16"/>
      <c r="G74" s="13">
        <v>502831.2</v>
      </c>
      <c r="H74" s="16"/>
      <c r="I74" s="13">
        <v>94269</v>
      </c>
      <c r="J74" s="13">
        <f t="shared" si="3"/>
        <v>117836.25</v>
      </c>
      <c r="K74" s="6"/>
    </row>
    <row r="75" spans="1:11" x14ac:dyDescent="0.25">
      <c r="A75" s="3">
        <v>68</v>
      </c>
      <c r="B75" s="14"/>
      <c r="C75" s="15" t="str">
        <f>"02/14-3"</f>
        <v>02/14-3</v>
      </c>
      <c r="D75" s="15" t="str">
        <f t="shared" si="2"/>
        <v>HRVATSKA POŠTA D.D.</v>
      </c>
      <c r="E75" s="16">
        <v>41730</v>
      </c>
      <c r="F75" s="16"/>
      <c r="G75" s="13">
        <v>457573</v>
      </c>
      <c r="H75" s="16"/>
      <c r="I75" s="13">
        <v>31701</v>
      </c>
      <c r="J75" s="13">
        <f t="shared" si="3"/>
        <v>39626.25</v>
      </c>
      <c r="K75" s="6"/>
    </row>
    <row r="76" spans="1:11" ht="24" x14ac:dyDescent="0.25">
      <c r="A76" s="3">
        <v>69</v>
      </c>
      <c r="B76" s="14" t="s">
        <v>346</v>
      </c>
      <c r="C76" s="15" t="str">
        <f>"DP-02/9/3-14170/15"</f>
        <v>DP-02/9/3-14170/15</v>
      </c>
      <c r="D76" s="15" t="str">
        <f t="shared" si="2"/>
        <v>HRVATSKA POŠTA D.D.</v>
      </c>
      <c r="E76" s="16">
        <v>42149</v>
      </c>
      <c r="F76" s="16"/>
      <c r="G76" s="13">
        <v>387977.65</v>
      </c>
      <c r="H76" s="16"/>
      <c r="I76" s="13">
        <v>183234.84</v>
      </c>
      <c r="J76" s="13">
        <f t="shared" si="3"/>
        <v>229043.55</v>
      </c>
      <c r="K76" s="6"/>
    </row>
    <row r="77" spans="1:11" ht="24" x14ac:dyDescent="0.25">
      <c r="A77" s="3">
        <v>70</v>
      </c>
      <c r="B77" s="14" t="s">
        <v>185</v>
      </c>
      <c r="C77" s="15" t="str">
        <f>"104/2014"</f>
        <v>104/2014</v>
      </c>
      <c r="D77" s="15" t="str">
        <f t="shared" si="2"/>
        <v>HRVATSKA POŠTA D.D.</v>
      </c>
      <c r="E77" s="16">
        <v>41673</v>
      </c>
      <c r="F77" s="16"/>
      <c r="G77" s="13">
        <v>40123.29</v>
      </c>
      <c r="H77" s="16"/>
      <c r="I77" s="13">
        <v>40123.29</v>
      </c>
      <c r="J77" s="13">
        <f t="shared" si="3"/>
        <v>50154.112500000003</v>
      </c>
      <c r="K77" s="6"/>
    </row>
    <row r="78" spans="1:11" ht="24" x14ac:dyDescent="0.25">
      <c r="A78" s="3">
        <v>71</v>
      </c>
      <c r="B78" s="14" t="s">
        <v>254</v>
      </c>
      <c r="C78" s="15" t="str">
        <f>"DP-02/2-183/15"</f>
        <v>DP-02/2-183/15</v>
      </c>
      <c r="D78" s="15" t="str">
        <f t="shared" si="2"/>
        <v>HRVATSKA POŠTA D.D.</v>
      </c>
      <c r="E78" s="16">
        <v>42019</v>
      </c>
      <c r="F78" s="16"/>
      <c r="G78" s="13">
        <v>26855.02</v>
      </c>
      <c r="H78" s="16"/>
      <c r="I78" s="13">
        <v>7737.52</v>
      </c>
      <c r="J78" s="13">
        <f t="shared" si="3"/>
        <v>9671.9000000000015</v>
      </c>
      <c r="K78" s="6"/>
    </row>
    <row r="79" spans="1:11" ht="24" x14ac:dyDescent="0.25">
      <c r="A79" s="3">
        <v>72</v>
      </c>
      <c r="B79" s="14" t="s">
        <v>345</v>
      </c>
      <c r="C79" s="15" t="str">
        <f>"DP-02/9/6-01-4456/1-2"</f>
        <v>DP-02/9/6-01-4456/1-2</v>
      </c>
      <c r="D79" s="15" t="str">
        <f t="shared" si="2"/>
        <v>HRVATSKA POŠTA D.D.</v>
      </c>
      <c r="E79" s="16">
        <v>41673</v>
      </c>
      <c r="F79" s="16"/>
      <c r="G79" s="13">
        <v>209028.18</v>
      </c>
      <c r="H79" s="16"/>
      <c r="I79" s="13">
        <v>131484.5</v>
      </c>
      <c r="J79" s="13">
        <f t="shared" si="3"/>
        <v>164355.625</v>
      </c>
      <c r="K79" s="6"/>
    </row>
    <row r="80" spans="1:11" x14ac:dyDescent="0.25">
      <c r="A80" s="3">
        <v>73</v>
      </c>
      <c r="B80" s="14"/>
      <c r="C80" s="15" t="str">
        <f>"DP-02-6-9415/14"</f>
        <v>DP-02-6-9415/14</v>
      </c>
      <c r="D80" s="15" t="str">
        <f t="shared" si="2"/>
        <v>HRVATSKA POŠTA D.D.</v>
      </c>
      <c r="E80" s="16">
        <v>41726</v>
      </c>
      <c r="F80" s="16"/>
      <c r="G80" s="13">
        <v>160936.60999999999</v>
      </c>
      <c r="H80" s="16"/>
      <c r="I80" s="13">
        <v>34877.620000000003</v>
      </c>
      <c r="J80" s="13">
        <f t="shared" si="3"/>
        <v>43597.025000000001</v>
      </c>
      <c r="K80" s="6"/>
    </row>
    <row r="81" spans="1:11" x14ac:dyDescent="0.25">
      <c r="A81" s="3">
        <v>74</v>
      </c>
      <c r="B81" s="14"/>
      <c r="C81" s="15" t="str">
        <f>"DP-02/6-9417/14"</f>
        <v>DP-02/6-9417/14</v>
      </c>
      <c r="D81" s="15" t="str">
        <f t="shared" si="2"/>
        <v>HRVATSKA POŠTA D.D.</v>
      </c>
      <c r="E81" s="16">
        <v>41740</v>
      </c>
      <c r="F81" s="16"/>
      <c r="G81" s="13">
        <v>129528.92</v>
      </c>
      <c r="H81" s="16"/>
      <c r="I81" s="13">
        <v>21241.52</v>
      </c>
      <c r="J81" s="13">
        <f t="shared" si="3"/>
        <v>26551.9</v>
      </c>
      <c r="K81" s="6"/>
    </row>
    <row r="82" spans="1:11" ht="24" x14ac:dyDescent="0.25">
      <c r="A82" s="3">
        <v>75</v>
      </c>
      <c r="B82" s="14" t="s">
        <v>226</v>
      </c>
      <c r="C82" s="15" t="str">
        <f>"DP-02/1-16537/14."</f>
        <v>DP-02/1-16537/14.</v>
      </c>
      <c r="D82" s="15" t="str">
        <f t="shared" si="2"/>
        <v>HRVATSKA POŠTA D.D.</v>
      </c>
      <c r="E82" s="16">
        <v>41796</v>
      </c>
      <c r="F82" s="16"/>
      <c r="G82" s="13">
        <v>553358.86</v>
      </c>
      <c r="H82" s="16"/>
      <c r="I82" s="13">
        <v>159538.34</v>
      </c>
      <c r="J82" s="13">
        <f t="shared" si="3"/>
        <v>199422.92499999999</v>
      </c>
      <c r="K82" s="6"/>
    </row>
    <row r="83" spans="1:11" ht="24" x14ac:dyDescent="0.25">
      <c r="A83" s="3">
        <v>76</v>
      </c>
      <c r="B83" s="14" t="s">
        <v>369</v>
      </c>
      <c r="C83" s="15" t="str">
        <f>"DP-02/1-008840/14"</f>
        <v>DP-02/1-008840/14</v>
      </c>
      <c r="D83" s="15" t="str">
        <f t="shared" si="2"/>
        <v>HRVATSKA POŠTA D.D.</v>
      </c>
      <c r="E83" s="16">
        <v>42171</v>
      </c>
      <c r="F83" s="16"/>
      <c r="G83" s="13">
        <v>1435814.11</v>
      </c>
      <c r="H83" s="16"/>
      <c r="I83" s="13">
        <v>669965.18000000005</v>
      </c>
      <c r="J83" s="13">
        <f t="shared" si="3"/>
        <v>837456.47500000009</v>
      </c>
      <c r="K83" s="6"/>
    </row>
    <row r="84" spans="1:11" x14ac:dyDescent="0.25">
      <c r="A84" s="3">
        <v>77</v>
      </c>
      <c r="B84" s="14" t="s">
        <v>625</v>
      </c>
      <c r="C84" s="15" t="str">
        <f>"DP-2-26537/11"</f>
        <v>DP-2-26537/11</v>
      </c>
      <c r="D84" s="15" t="str">
        <f t="shared" si="2"/>
        <v>HRVATSKA POŠTA D.D.</v>
      </c>
      <c r="E84" s="16">
        <v>40920</v>
      </c>
      <c r="F84" s="16"/>
      <c r="G84" s="13">
        <v>0</v>
      </c>
      <c r="H84" s="16"/>
      <c r="I84" s="13">
        <v>35648.300000000003</v>
      </c>
      <c r="J84" s="13">
        <f t="shared" si="3"/>
        <v>44560.375</v>
      </c>
      <c r="K84" s="6"/>
    </row>
    <row r="85" spans="1:11" x14ac:dyDescent="0.25">
      <c r="A85" s="3">
        <v>78</v>
      </c>
      <c r="B85" s="14"/>
      <c r="C85" s="15" t="str">
        <f>"DP-02/6-9414/14"</f>
        <v>DP-02/6-9414/14</v>
      </c>
      <c r="D85" s="15" t="str">
        <f t="shared" si="2"/>
        <v>HRVATSKA POŠTA D.D.</v>
      </c>
      <c r="E85" s="16">
        <v>41723</v>
      </c>
      <c r="F85" s="16"/>
      <c r="G85" s="13">
        <v>229376.14</v>
      </c>
      <c r="H85" s="16"/>
      <c r="I85" s="13">
        <v>40844.5</v>
      </c>
      <c r="J85" s="13">
        <f t="shared" si="3"/>
        <v>51055.625</v>
      </c>
      <c r="K85" s="6"/>
    </row>
    <row r="86" spans="1:11" x14ac:dyDescent="0.25">
      <c r="A86" s="3">
        <v>79</v>
      </c>
      <c r="B86" s="14" t="s">
        <v>33</v>
      </c>
      <c r="C86" s="15" t="str">
        <f>"406-01/13-01/31"</f>
        <v>406-01/13-01/31</v>
      </c>
      <c r="D86" s="15" t="str">
        <f t="shared" si="2"/>
        <v>HRVATSKA POŠTA D.D.</v>
      </c>
      <c r="E86" s="16">
        <v>41823</v>
      </c>
      <c r="F86" s="16"/>
      <c r="G86" s="13">
        <v>936000</v>
      </c>
      <c r="H86" s="16"/>
      <c r="I86" s="13">
        <v>891799.66</v>
      </c>
      <c r="J86" s="13">
        <f t="shared" si="3"/>
        <v>1114749.575</v>
      </c>
      <c r="K86" s="6"/>
    </row>
    <row r="87" spans="1:11" x14ac:dyDescent="0.25">
      <c r="A87" s="3">
        <v>80</v>
      </c>
      <c r="B87" s="14"/>
      <c r="C87" s="15" t="str">
        <f>"DP-02/3-9160/14"</f>
        <v>DP-02/3-9160/14</v>
      </c>
      <c r="D87" s="15" t="str">
        <f t="shared" ref="D87:D150" si="4">CONCATENATE("HRVATSKA POŠTA D.D.")</f>
        <v>HRVATSKA POŠTA D.D.</v>
      </c>
      <c r="E87" s="16">
        <v>41730</v>
      </c>
      <c r="F87" s="16"/>
      <c r="G87" s="13">
        <v>6030.48</v>
      </c>
      <c r="H87" s="16"/>
      <c r="I87" s="13">
        <v>6030</v>
      </c>
      <c r="J87" s="13">
        <f t="shared" si="3"/>
        <v>7537.5</v>
      </c>
      <c r="K87" s="6"/>
    </row>
    <row r="88" spans="1:11" ht="24" x14ac:dyDescent="0.25">
      <c r="A88" s="3">
        <v>81</v>
      </c>
      <c r="B88" s="14" t="s">
        <v>326</v>
      </c>
      <c r="C88" s="15" t="str">
        <f>"DP-02/6-10071/14"</f>
        <v>DP-02/6-10071/14</v>
      </c>
      <c r="D88" s="15" t="str">
        <f t="shared" si="4"/>
        <v>HRVATSKA POŠTA D.D.</v>
      </c>
      <c r="E88" s="16">
        <v>41740</v>
      </c>
      <c r="F88" s="16"/>
      <c r="G88" s="13">
        <v>52458.2</v>
      </c>
      <c r="H88" s="16"/>
      <c r="I88" s="13">
        <v>22964.400000000001</v>
      </c>
      <c r="J88" s="13">
        <f t="shared" si="3"/>
        <v>28705.5</v>
      </c>
      <c r="K88" s="6"/>
    </row>
    <row r="89" spans="1:11" ht="24" x14ac:dyDescent="0.25">
      <c r="A89" s="3">
        <v>82</v>
      </c>
      <c r="B89" s="14" t="s">
        <v>626</v>
      </c>
      <c r="C89" s="15" t="str">
        <f>"DP-02/1-008839/14"</f>
        <v>DP-02/1-008839/14</v>
      </c>
      <c r="D89" s="15" t="str">
        <f t="shared" si="4"/>
        <v>HRVATSKA POŠTA D.D.</v>
      </c>
      <c r="E89" s="16">
        <v>41730</v>
      </c>
      <c r="F89" s="16"/>
      <c r="G89" s="13">
        <v>159652.54999999999</v>
      </c>
      <c r="H89" s="16"/>
      <c r="I89" s="13">
        <v>55834.46</v>
      </c>
      <c r="J89" s="13">
        <f t="shared" si="3"/>
        <v>69793.074999999997</v>
      </c>
      <c r="K89" s="6"/>
    </row>
    <row r="90" spans="1:11" ht="24" x14ac:dyDescent="0.25">
      <c r="A90" s="3">
        <v>83</v>
      </c>
      <c r="B90" s="14" t="s">
        <v>341</v>
      </c>
      <c r="C90" s="15" t="str">
        <f>"DP-02/4-28633/14"</f>
        <v>DP-02/4-28633/14</v>
      </c>
      <c r="D90" s="15" t="str">
        <f t="shared" si="4"/>
        <v>HRVATSKA POŠTA D.D.</v>
      </c>
      <c r="E90" s="16">
        <v>41962</v>
      </c>
      <c r="F90" s="16"/>
      <c r="G90" s="13">
        <v>31669.87</v>
      </c>
      <c r="H90" s="16"/>
      <c r="I90" s="13">
        <v>29664.61</v>
      </c>
      <c r="J90" s="13">
        <f t="shared" si="3"/>
        <v>37080.762499999997</v>
      </c>
      <c r="K90" s="6"/>
    </row>
    <row r="91" spans="1:11" ht="24" x14ac:dyDescent="0.25">
      <c r="A91" s="3">
        <v>84</v>
      </c>
      <c r="B91" s="14" t="s">
        <v>227</v>
      </c>
      <c r="C91" s="15" t="str">
        <f>"POŠTANSKE USLUGE NG"</f>
        <v>POŠTANSKE USLUGE NG</v>
      </c>
      <c r="D91" s="15" t="str">
        <f t="shared" si="4"/>
        <v>HRVATSKA POŠTA D.D.</v>
      </c>
      <c r="E91" s="16">
        <v>41779</v>
      </c>
      <c r="F91" s="16"/>
      <c r="G91" s="13">
        <v>636394.56000000006</v>
      </c>
      <c r="H91" s="16"/>
      <c r="I91" s="13">
        <v>58334.8</v>
      </c>
      <c r="J91" s="13">
        <f t="shared" si="3"/>
        <v>72918.5</v>
      </c>
      <c r="K91" s="6"/>
    </row>
    <row r="92" spans="1:11" ht="24" x14ac:dyDescent="0.25">
      <c r="A92" s="3">
        <v>85</v>
      </c>
      <c r="B92" s="14" t="s">
        <v>411</v>
      </c>
      <c r="C92" s="15" t="str">
        <f>"DP-02/9/4-013978/15"</f>
        <v>DP-02/9/4-013978/15</v>
      </c>
      <c r="D92" s="15" t="str">
        <f t="shared" si="4"/>
        <v>HRVATSKA POŠTA D.D.</v>
      </c>
      <c r="E92" s="16">
        <v>42136</v>
      </c>
      <c r="F92" s="16"/>
      <c r="G92" s="13">
        <v>2566888.86</v>
      </c>
      <c r="H92" s="16"/>
      <c r="I92" s="13">
        <v>1352383.9</v>
      </c>
      <c r="J92" s="13">
        <f t="shared" si="3"/>
        <v>1690479.875</v>
      </c>
      <c r="K92" s="6"/>
    </row>
    <row r="93" spans="1:11" ht="24" x14ac:dyDescent="0.25">
      <c r="A93" s="3">
        <v>86</v>
      </c>
      <c r="B93" s="14" t="s">
        <v>392</v>
      </c>
      <c r="C93" s="15" t="str">
        <f>"DP-02/1-008841/14"</f>
        <v>DP-02/1-008841/14</v>
      </c>
      <c r="D93" s="15" t="str">
        <f t="shared" si="4"/>
        <v>HRVATSKA POŠTA D.D.</v>
      </c>
      <c r="E93" s="16">
        <v>42242</v>
      </c>
      <c r="F93" s="16"/>
      <c r="G93" s="13">
        <v>155526.74</v>
      </c>
      <c r="H93" s="16"/>
      <c r="I93" s="13">
        <v>90928.5</v>
      </c>
      <c r="J93" s="13">
        <f t="shared" si="3"/>
        <v>113660.625</v>
      </c>
      <c r="K93" s="6"/>
    </row>
    <row r="94" spans="1:11" x14ac:dyDescent="0.25">
      <c r="A94" s="3">
        <v>87</v>
      </c>
      <c r="B94" s="14" t="s">
        <v>279</v>
      </c>
      <c r="C94" s="15" t="str">
        <f>"11/2013OS"</f>
        <v>11/2013OS</v>
      </c>
      <c r="D94" s="15" t="str">
        <f t="shared" si="4"/>
        <v>HRVATSKA POŠTA D.D.</v>
      </c>
      <c r="E94" s="16">
        <v>41730</v>
      </c>
      <c r="F94" s="16"/>
      <c r="G94" s="13">
        <v>1115038.1399999999</v>
      </c>
      <c r="H94" s="16"/>
      <c r="I94" s="13">
        <v>517251.67</v>
      </c>
      <c r="J94" s="13">
        <f t="shared" si="3"/>
        <v>646564.58750000002</v>
      </c>
      <c r="K94" s="6"/>
    </row>
    <row r="95" spans="1:11" ht="24" x14ac:dyDescent="0.25">
      <c r="A95" s="3">
        <v>88</v>
      </c>
      <c r="B95" s="14" t="s">
        <v>627</v>
      </c>
      <c r="C95" s="15" t="str">
        <f>"DP-02/5-19775/15"</f>
        <v>DP-02/5-19775/15</v>
      </c>
      <c r="D95" s="15" t="str">
        <f t="shared" si="4"/>
        <v>HRVATSKA POŠTA D.D.</v>
      </c>
      <c r="E95" s="16">
        <v>42244</v>
      </c>
      <c r="F95" s="16"/>
      <c r="G95" s="13">
        <v>237452.65</v>
      </c>
      <c r="H95" s="16"/>
      <c r="I95" s="13">
        <v>89157.09</v>
      </c>
      <c r="J95" s="13">
        <f t="shared" si="3"/>
        <v>111446.36249999999</v>
      </c>
      <c r="K95" s="6"/>
    </row>
    <row r="96" spans="1:11" x14ac:dyDescent="0.25">
      <c r="A96" s="3">
        <v>89</v>
      </c>
      <c r="B96" s="14"/>
      <c r="C96" s="15" t="str">
        <f>"DP-02/5-8762/14"</f>
        <v>DP-02/5-8762/14</v>
      </c>
      <c r="D96" s="15" t="str">
        <f t="shared" si="4"/>
        <v>HRVATSKA POŠTA D.D.</v>
      </c>
      <c r="E96" s="16">
        <v>41728</v>
      </c>
      <c r="F96" s="16"/>
      <c r="G96" s="13">
        <v>183555.18</v>
      </c>
      <c r="H96" s="16"/>
      <c r="I96" s="13">
        <v>59697.36</v>
      </c>
      <c r="J96" s="13">
        <f t="shared" si="3"/>
        <v>74621.7</v>
      </c>
      <c r="K96" s="6"/>
    </row>
    <row r="97" spans="1:11" ht="24" x14ac:dyDescent="0.25">
      <c r="A97" s="3">
        <v>90</v>
      </c>
      <c r="B97" s="14" t="s">
        <v>628</v>
      </c>
      <c r="C97" s="15" t="str">
        <f>"DP-02/5-SL/13"</f>
        <v>DP-02/5-SL/13</v>
      </c>
      <c r="D97" s="15" t="str">
        <f t="shared" si="4"/>
        <v>HRVATSKA POŠTA D.D.</v>
      </c>
      <c r="E97" s="16">
        <v>41729</v>
      </c>
      <c r="F97" s="16">
        <v>42403</v>
      </c>
      <c r="G97" s="13">
        <v>186405.44</v>
      </c>
      <c r="H97" s="16">
        <v>42403</v>
      </c>
      <c r="I97" s="13">
        <v>28306.89</v>
      </c>
      <c r="J97" s="13">
        <f t="shared" si="3"/>
        <v>35383.612500000003</v>
      </c>
      <c r="K97" s="6"/>
    </row>
    <row r="98" spans="1:11" x14ac:dyDescent="0.25">
      <c r="A98" s="3">
        <v>91</v>
      </c>
      <c r="B98" s="14" t="s">
        <v>402</v>
      </c>
      <c r="C98" s="15" t="str">
        <f>"11/2013PS"</f>
        <v>11/2013PS</v>
      </c>
      <c r="D98" s="15" t="str">
        <f t="shared" si="4"/>
        <v>HRVATSKA POŠTA D.D.</v>
      </c>
      <c r="E98" s="16">
        <v>41730</v>
      </c>
      <c r="F98" s="16"/>
      <c r="G98" s="13">
        <v>246763.58</v>
      </c>
      <c r="H98" s="16"/>
      <c r="I98" s="13">
        <v>70446.78</v>
      </c>
      <c r="J98" s="13">
        <f t="shared" si="3"/>
        <v>88058.475000000006</v>
      </c>
      <c r="K98" s="6"/>
    </row>
    <row r="99" spans="1:11" ht="24" x14ac:dyDescent="0.25">
      <c r="A99" s="3">
        <v>92</v>
      </c>
      <c r="B99" s="14"/>
      <c r="C99" s="15" t="str">
        <f>"DP-02/5-12656/14"</f>
        <v>DP-02/5-12656/14</v>
      </c>
      <c r="D99" s="15" t="str">
        <f t="shared" si="4"/>
        <v>HRVATSKA POŠTA D.D.</v>
      </c>
      <c r="E99" s="16">
        <v>41728</v>
      </c>
      <c r="F99" s="16"/>
      <c r="G99" s="13">
        <v>21584.83</v>
      </c>
      <c r="H99" s="16"/>
      <c r="I99" s="13">
        <v>21584.83</v>
      </c>
      <c r="J99" s="13">
        <f t="shared" si="3"/>
        <v>26981.037500000002</v>
      </c>
      <c r="K99" s="6"/>
    </row>
    <row r="100" spans="1:11" ht="24" x14ac:dyDescent="0.25">
      <c r="A100" s="3">
        <v>93</v>
      </c>
      <c r="B100" s="14" t="s">
        <v>629</v>
      </c>
      <c r="C100" s="15" t="str">
        <f>"17-SU-207/14"</f>
        <v>17-SU-207/14</v>
      </c>
      <c r="D100" s="15" t="str">
        <f t="shared" si="4"/>
        <v>HRVATSKA POŠTA D.D.</v>
      </c>
      <c r="E100" s="16">
        <v>41729</v>
      </c>
      <c r="F100" s="16">
        <v>42403</v>
      </c>
      <c r="G100" s="13">
        <v>186768.96</v>
      </c>
      <c r="H100" s="16">
        <v>42403</v>
      </c>
      <c r="I100" s="13">
        <v>75493.89</v>
      </c>
      <c r="J100" s="13">
        <f t="shared" si="3"/>
        <v>94367.362500000003</v>
      </c>
      <c r="K100" s="6"/>
    </row>
    <row r="101" spans="1:11" ht="24" x14ac:dyDescent="0.25">
      <c r="A101" s="3">
        <v>94</v>
      </c>
      <c r="B101" s="14" t="s">
        <v>385</v>
      </c>
      <c r="C101" s="15" t="str">
        <f>"DP-02-21489/13-1"</f>
        <v>DP-02-21489/13-1</v>
      </c>
      <c r="D101" s="15" t="str">
        <f t="shared" si="4"/>
        <v>HRVATSKA POŠTA D.D.</v>
      </c>
      <c r="E101" s="16">
        <v>41758</v>
      </c>
      <c r="F101" s="16"/>
      <c r="G101" s="13">
        <v>460790.54</v>
      </c>
      <c r="H101" s="16"/>
      <c r="I101" s="13">
        <v>51987.01</v>
      </c>
      <c r="J101" s="13">
        <f t="shared" si="3"/>
        <v>64983.762500000004</v>
      </c>
      <c r="K101" s="6"/>
    </row>
    <row r="102" spans="1:11" ht="24" x14ac:dyDescent="0.25">
      <c r="A102" s="3">
        <v>95</v>
      </c>
      <c r="B102" s="14" t="s">
        <v>352</v>
      </c>
      <c r="C102" s="15" t="str">
        <f>"DP-02/4-009139/14"</f>
        <v>DP-02/4-009139/14</v>
      </c>
      <c r="D102" s="15" t="str">
        <f t="shared" si="4"/>
        <v>HRVATSKA POŠTA D.D.</v>
      </c>
      <c r="E102" s="16">
        <v>41729</v>
      </c>
      <c r="F102" s="16"/>
      <c r="G102" s="13">
        <v>1047596.8</v>
      </c>
      <c r="H102" s="16"/>
      <c r="I102" s="13">
        <v>393748.95</v>
      </c>
      <c r="J102" s="13">
        <f t="shared" si="3"/>
        <v>492186.1875</v>
      </c>
      <c r="K102" s="6"/>
    </row>
    <row r="103" spans="1:11" x14ac:dyDescent="0.25">
      <c r="A103" s="3">
        <v>96</v>
      </c>
      <c r="B103" s="14" t="s">
        <v>335</v>
      </c>
      <c r="C103" s="15" t="str">
        <f>"DP-02/3-8809/14"</f>
        <v>DP-02/3-8809/14</v>
      </c>
      <c r="D103" s="15" t="str">
        <f t="shared" si="4"/>
        <v>HRVATSKA POŠTA D.D.</v>
      </c>
      <c r="E103" s="16">
        <v>41730</v>
      </c>
      <c r="F103" s="16"/>
      <c r="G103" s="13">
        <v>856796</v>
      </c>
      <c r="H103" s="16"/>
      <c r="I103" s="13">
        <v>856796</v>
      </c>
      <c r="J103" s="13">
        <f t="shared" si="3"/>
        <v>1070995</v>
      </c>
      <c r="K103" s="6"/>
    </row>
    <row r="104" spans="1:11" x14ac:dyDescent="0.25">
      <c r="A104" s="3">
        <v>97</v>
      </c>
      <c r="B104" s="14" t="s">
        <v>320</v>
      </c>
      <c r="C104" s="15" t="str">
        <f>"DP-02-21489/13."</f>
        <v>DP-02-21489/13.</v>
      </c>
      <c r="D104" s="15" t="str">
        <f t="shared" si="4"/>
        <v>HRVATSKA POŠTA D.D.</v>
      </c>
      <c r="E104" s="16">
        <v>41673</v>
      </c>
      <c r="F104" s="16">
        <v>42403</v>
      </c>
      <c r="G104" s="13">
        <v>1005627.86</v>
      </c>
      <c r="H104" s="16">
        <v>42403</v>
      </c>
      <c r="I104" s="13">
        <v>403432.9</v>
      </c>
      <c r="J104" s="13">
        <f t="shared" si="3"/>
        <v>504291.125</v>
      </c>
      <c r="K104" s="6"/>
    </row>
    <row r="105" spans="1:11" x14ac:dyDescent="0.25">
      <c r="A105" s="3">
        <v>98</v>
      </c>
      <c r="B105" s="14"/>
      <c r="C105" s="15" t="str">
        <f>"DP-02/3-8947/14"</f>
        <v>DP-02/3-8947/14</v>
      </c>
      <c r="D105" s="15" t="str">
        <f t="shared" si="4"/>
        <v>HRVATSKA POŠTA D.D.</v>
      </c>
      <c r="E105" s="16">
        <v>41730</v>
      </c>
      <c r="F105" s="16"/>
      <c r="G105" s="13">
        <v>57121</v>
      </c>
      <c r="H105" s="16"/>
      <c r="I105" s="13">
        <v>57121</v>
      </c>
      <c r="J105" s="13">
        <f t="shared" si="3"/>
        <v>71401.25</v>
      </c>
      <c r="K105" s="6"/>
    </row>
    <row r="106" spans="1:11" ht="24" x14ac:dyDescent="0.25">
      <c r="A106" s="3">
        <v>99</v>
      </c>
      <c r="B106" s="14" t="s">
        <v>234</v>
      </c>
      <c r="C106" s="15" t="str">
        <f>"DP-02/91-018803/15"</f>
        <v>DP-02/91-018803/15</v>
      </c>
      <c r="D106" s="15" t="str">
        <f t="shared" si="4"/>
        <v>HRVATSKA POŠTA D.D.</v>
      </c>
      <c r="E106" s="16">
        <v>42186</v>
      </c>
      <c r="F106" s="16">
        <v>42402</v>
      </c>
      <c r="G106" s="13">
        <v>262857.5</v>
      </c>
      <c r="H106" s="16">
        <v>42402</v>
      </c>
      <c r="I106" s="13">
        <v>114233</v>
      </c>
      <c r="J106" s="13">
        <f t="shared" si="3"/>
        <v>142791.25</v>
      </c>
      <c r="K106" s="6"/>
    </row>
    <row r="107" spans="1:11" ht="24" x14ac:dyDescent="0.25">
      <c r="A107" s="3">
        <v>100</v>
      </c>
      <c r="B107" s="14" t="s">
        <v>30</v>
      </c>
      <c r="C107" s="15" t="str">
        <f>"510/7-C-U-0038/15-90"</f>
        <v>510/7-C-U-0038/15-90</v>
      </c>
      <c r="D107" s="15" t="str">
        <f t="shared" si="4"/>
        <v>HRVATSKA POŠTA D.D.</v>
      </c>
      <c r="E107" s="16">
        <v>42166</v>
      </c>
      <c r="F107" s="16">
        <v>42403</v>
      </c>
      <c r="G107" s="13">
        <v>199999.43</v>
      </c>
      <c r="H107" s="16">
        <v>42403</v>
      </c>
      <c r="I107" s="13">
        <v>197818</v>
      </c>
      <c r="J107" s="13">
        <f t="shared" si="3"/>
        <v>247272.5</v>
      </c>
      <c r="K107" s="6"/>
    </row>
    <row r="108" spans="1:11" ht="24" x14ac:dyDescent="0.25">
      <c r="A108" s="3">
        <v>101</v>
      </c>
      <c r="B108" s="14" t="s">
        <v>46</v>
      </c>
      <c r="C108" s="15" t="str">
        <f>"DP-02/5-11339/15"</f>
        <v>DP-02/5-11339/15</v>
      </c>
      <c r="D108" s="15" t="str">
        <f t="shared" si="4"/>
        <v>HRVATSKA POŠTA D.D.</v>
      </c>
      <c r="E108" s="16">
        <v>42124</v>
      </c>
      <c r="F108" s="16">
        <v>42496</v>
      </c>
      <c r="G108" s="13">
        <v>18381.63</v>
      </c>
      <c r="H108" s="16">
        <v>42496</v>
      </c>
      <c r="I108" s="13">
        <v>12137.11</v>
      </c>
      <c r="J108" s="13">
        <f t="shared" si="3"/>
        <v>15171.387500000001</v>
      </c>
      <c r="K108" s="6"/>
    </row>
    <row r="109" spans="1:11" ht="24" x14ac:dyDescent="0.25">
      <c r="A109" s="3">
        <v>102</v>
      </c>
      <c r="B109" s="14" t="s">
        <v>48</v>
      </c>
      <c r="C109" s="15" t="str">
        <f>"DP-02/9102/15"</f>
        <v>DP-02/9102/15</v>
      </c>
      <c r="D109" s="15" t="str">
        <f t="shared" si="4"/>
        <v>HRVATSKA POŠTA D.D.</v>
      </c>
      <c r="E109" s="16">
        <v>42081</v>
      </c>
      <c r="F109" s="16">
        <v>42369</v>
      </c>
      <c r="G109" s="13">
        <v>732</v>
      </c>
      <c r="H109" s="16">
        <v>42369</v>
      </c>
      <c r="I109" s="13">
        <v>971.12</v>
      </c>
      <c r="J109" s="13">
        <f t="shared" si="3"/>
        <v>1213.9000000000001</v>
      </c>
      <c r="K109" s="6"/>
    </row>
    <row r="110" spans="1:11" ht="24" x14ac:dyDescent="0.25">
      <c r="A110" s="3">
        <v>103</v>
      </c>
      <c r="B110" s="14" t="s">
        <v>62</v>
      </c>
      <c r="C110" s="15" t="str">
        <f>"DP-02-10927/15"</f>
        <v>DP-02-10927/15</v>
      </c>
      <c r="D110" s="15" t="str">
        <f t="shared" si="4"/>
        <v>HRVATSKA POŠTA D.D.</v>
      </c>
      <c r="E110" s="16">
        <v>42118</v>
      </c>
      <c r="F110" s="16">
        <v>42369</v>
      </c>
      <c r="G110" s="13">
        <v>15616</v>
      </c>
      <c r="H110" s="16">
        <v>42369</v>
      </c>
      <c r="I110" s="13">
        <v>250404</v>
      </c>
      <c r="J110" s="13">
        <f t="shared" si="3"/>
        <v>313005</v>
      </c>
      <c r="K110" s="6"/>
    </row>
    <row r="111" spans="1:11" ht="24" x14ac:dyDescent="0.25">
      <c r="A111" s="3">
        <v>104</v>
      </c>
      <c r="B111" s="14" t="s">
        <v>62</v>
      </c>
      <c r="C111" s="15" t="str">
        <f>"DP-02-10928/15"</f>
        <v>DP-02-10928/15</v>
      </c>
      <c r="D111" s="15" t="str">
        <f t="shared" si="4"/>
        <v>HRVATSKA POŠTA D.D.</v>
      </c>
      <c r="E111" s="16">
        <v>42118</v>
      </c>
      <c r="F111" s="16">
        <v>42369</v>
      </c>
      <c r="G111" s="13">
        <v>14752.15</v>
      </c>
      <c r="H111" s="16">
        <v>42369</v>
      </c>
      <c r="I111" s="13">
        <v>860.1</v>
      </c>
      <c r="J111" s="13">
        <f t="shared" si="3"/>
        <v>1075.125</v>
      </c>
      <c r="K111" s="6"/>
    </row>
    <row r="112" spans="1:11" ht="24" x14ac:dyDescent="0.25">
      <c r="A112" s="3">
        <v>105</v>
      </c>
      <c r="B112" s="14" t="s">
        <v>42</v>
      </c>
      <c r="C112" s="15" t="str">
        <f>"SNUG-204-15-0013"</f>
        <v>SNUG-204-15-0013</v>
      </c>
      <c r="D112" s="15" t="str">
        <f t="shared" si="4"/>
        <v>HRVATSKA POŠTA D.D.</v>
      </c>
      <c r="E112" s="16">
        <v>42096</v>
      </c>
      <c r="F112" s="16">
        <v>42462</v>
      </c>
      <c r="G112" s="13">
        <v>1757797.9</v>
      </c>
      <c r="H112" s="16">
        <v>42462</v>
      </c>
      <c r="I112" s="13">
        <v>780216.21</v>
      </c>
      <c r="J112" s="13">
        <f t="shared" si="3"/>
        <v>975270.26249999995</v>
      </c>
      <c r="K112" s="6"/>
    </row>
    <row r="113" spans="1:11" x14ac:dyDescent="0.25">
      <c r="A113" s="3">
        <v>106</v>
      </c>
      <c r="B113" s="14" t="s">
        <v>259</v>
      </c>
      <c r="C113" s="15" t="str">
        <f>"DP-02/2-9527/15"</f>
        <v>DP-02/2-9527/15</v>
      </c>
      <c r="D113" s="15" t="str">
        <f t="shared" si="4"/>
        <v>HRVATSKA POŠTA D.D.</v>
      </c>
      <c r="E113" s="16">
        <v>42094</v>
      </c>
      <c r="F113" s="16">
        <v>42403</v>
      </c>
      <c r="G113" s="13">
        <v>158075.95000000001</v>
      </c>
      <c r="H113" s="16">
        <v>42403</v>
      </c>
      <c r="I113" s="13">
        <v>156120.95999999999</v>
      </c>
      <c r="J113" s="13">
        <f t="shared" si="3"/>
        <v>195151.19999999998</v>
      </c>
      <c r="K113" s="6"/>
    </row>
    <row r="114" spans="1:11" ht="36" x14ac:dyDescent="0.25">
      <c r="A114" s="3">
        <v>107</v>
      </c>
      <c r="B114" s="14" t="s">
        <v>236</v>
      </c>
      <c r="C114" s="15" t="str">
        <f>"DP-02/1-10521/15"</f>
        <v>DP-02/1-10521/15</v>
      </c>
      <c r="D114" s="15" t="str">
        <f t="shared" si="4"/>
        <v>HRVATSKA POŠTA D.D.</v>
      </c>
      <c r="E114" s="16">
        <v>42103</v>
      </c>
      <c r="F114" s="16">
        <v>42402</v>
      </c>
      <c r="G114" s="13">
        <v>101698</v>
      </c>
      <c r="H114" s="16">
        <v>42402</v>
      </c>
      <c r="I114" s="13">
        <v>67541</v>
      </c>
      <c r="J114" s="13">
        <f t="shared" si="3"/>
        <v>84426.25</v>
      </c>
      <c r="K114" s="6"/>
    </row>
    <row r="115" spans="1:11" ht="24" x14ac:dyDescent="0.25">
      <c r="A115" s="3">
        <v>108</v>
      </c>
      <c r="B115" s="14" t="s">
        <v>235</v>
      </c>
      <c r="C115" s="15" t="str">
        <f>"DP-02/1-10156/15"</f>
        <v>DP-02/1-10156/15</v>
      </c>
      <c r="D115" s="15" t="str">
        <f t="shared" si="4"/>
        <v>HRVATSKA POŠTA D.D.</v>
      </c>
      <c r="E115" s="16">
        <v>42109</v>
      </c>
      <c r="F115" s="16">
        <v>42402</v>
      </c>
      <c r="G115" s="13">
        <v>2210159</v>
      </c>
      <c r="H115" s="16">
        <v>42402</v>
      </c>
      <c r="I115" s="13">
        <v>1045665</v>
      </c>
      <c r="J115" s="13">
        <f t="shared" si="3"/>
        <v>1307081.25</v>
      </c>
      <c r="K115" s="6"/>
    </row>
    <row r="116" spans="1:11" x14ac:dyDescent="0.25">
      <c r="A116" s="3">
        <v>109</v>
      </c>
      <c r="B116" s="14" t="s">
        <v>630</v>
      </c>
      <c r="C116" s="15" t="str">
        <f>"17 SU-27/15"</f>
        <v>17 SU-27/15</v>
      </c>
      <c r="D116" s="15" t="str">
        <f t="shared" si="4"/>
        <v>HRVATSKA POŠTA D.D.</v>
      </c>
      <c r="E116" s="16">
        <v>42271</v>
      </c>
      <c r="F116" s="16"/>
      <c r="G116" s="13">
        <v>194831.58</v>
      </c>
      <c r="H116" s="16"/>
      <c r="I116" s="13">
        <v>177812.46</v>
      </c>
      <c r="J116" s="13">
        <f t="shared" si="3"/>
        <v>222265.57499999998</v>
      </c>
      <c r="K116" s="6"/>
    </row>
    <row r="117" spans="1:11" x14ac:dyDescent="0.25">
      <c r="A117" s="3">
        <v>110</v>
      </c>
      <c r="B117" s="14" t="s">
        <v>278</v>
      </c>
      <c r="C117" s="15" t="str">
        <f>"DP-02/2-9896/14"</f>
        <v>DP-02/2-9896/14</v>
      </c>
      <c r="D117" s="15" t="str">
        <f t="shared" si="4"/>
        <v>HRVATSKA POŠTA D.D.</v>
      </c>
      <c r="E117" s="16">
        <v>42095</v>
      </c>
      <c r="F117" s="16">
        <v>42403</v>
      </c>
      <c r="G117" s="13">
        <v>1020953.61</v>
      </c>
      <c r="H117" s="16">
        <v>42403</v>
      </c>
      <c r="I117" s="13">
        <v>246886.59</v>
      </c>
      <c r="J117" s="13">
        <f t="shared" si="3"/>
        <v>308608.23749999999</v>
      </c>
      <c r="K117" s="6"/>
    </row>
    <row r="118" spans="1:11" ht="24" x14ac:dyDescent="0.25">
      <c r="A118" s="3">
        <v>111</v>
      </c>
      <c r="B118" s="14" t="s">
        <v>631</v>
      </c>
      <c r="C118" s="15" t="str">
        <f>"DP-02/1-007713/15"</f>
        <v>DP-02/1-007713/15</v>
      </c>
      <c r="D118" s="15" t="str">
        <f t="shared" si="4"/>
        <v>HRVATSKA POŠTA D.D.</v>
      </c>
      <c r="E118" s="16">
        <v>42094</v>
      </c>
      <c r="F118" s="16"/>
      <c r="G118" s="13">
        <v>119117.5</v>
      </c>
      <c r="H118" s="16"/>
      <c r="I118" s="13">
        <v>117159.91</v>
      </c>
      <c r="J118" s="13">
        <f t="shared" si="3"/>
        <v>146449.88750000001</v>
      </c>
      <c r="K118" s="6"/>
    </row>
    <row r="119" spans="1:11" ht="24" x14ac:dyDescent="0.25">
      <c r="A119" s="3">
        <v>112</v>
      </c>
      <c r="B119" s="14" t="s">
        <v>45</v>
      </c>
      <c r="C119" s="15" t="str">
        <f>"7/2011-B-U2"</f>
        <v>7/2011-B-U2</v>
      </c>
      <c r="D119" s="15" t="str">
        <f t="shared" si="4"/>
        <v>HRVATSKA POŠTA D.D.</v>
      </c>
      <c r="E119" s="16">
        <v>42094</v>
      </c>
      <c r="F119" s="16">
        <v>42460</v>
      </c>
      <c r="G119" s="13">
        <v>1864.83</v>
      </c>
      <c r="H119" s="16">
        <v>42460</v>
      </c>
      <c r="I119" s="13">
        <v>1315.19</v>
      </c>
      <c r="J119" s="13">
        <f t="shared" si="3"/>
        <v>1643.9875000000002</v>
      </c>
      <c r="K119" s="6"/>
    </row>
    <row r="120" spans="1:11" x14ac:dyDescent="0.25">
      <c r="A120" s="3">
        <v>113</v>
      </c>
      <c r="B120" s="14" t="s">
        <v>49</v>
      </c>
      <c r="C120" s="15" t="str">
        <f>"DP-02-003926/15"</f>
        <v>DP-02-003926/15</v>
      </c>
      <c r="D120" s="15" t="str">
        <f t="shared" si="4"/>
        <v>HRVATSKA POŠTA D.D.</v>
      </c>
      <c r="E120" s="16">
        <v>42045</v>
      </c>
      <c r="F120" s="16">
        <v>42403</v>
      </c>
      <c r="G120" s="13">
        <v>154114.81</v>
      </c>
      <c r="H120" s="16">
        <v>42403</v>
      </c>
      <c r="I120" s="13">
        <v>123964.66</v>
      </c>
      <c r="J120" s="13">
        <f t="shared" si="3"/>
        <v>154955.82500000001</v>
      </c>
      <c r="K120" s="6"/>
    </row>
    <row r="121" spans="1:11" x14ac:dyDescent="0.25">
      <c r="A121" s="3">
        <v>114</v>
      </c>
      <c r="B121" s="14" t="s">
        <v>54</v>
      </c>
      <c r="C121" s="15" t="str">
        <f>"DP-02-003563/15"</f>
        <v>DP-02-003563/15</v>
      </c>
      <c r="D121" s="15" t="str">
        <f t="shared" si="4"/>
        <v>HRVATSKA POŠTA D.D.</v>
      </c>
      <c r="E121" s="16">
        <v>42032</v>
      </c>
      <c r="F121" s="16">
        <v>42403</v>
      </c>
      <c r="G121" s="13">
        <v>975530.3</v>
      </c>
      <c r="H121" s="16">
        <v>42403</v>
      </c>
      <c r="I121" s="13">
        <v>674630.8</v>
      </c>
      <c r="J121" s="13">
        <f t="shared" si="3"/>
        <v>843288.5</v>
      </c>
      <c r="K121" s="6"/>
    </row>
    <row r="122" spans="1:11" ht="24" x14ac:dyDescent="0.25">
      <c r="A122" s="3">
        <v>115</v>
      </c>
      <c r="B122" s="14" t="s">
        <v>47</v>
      </c>
      <c r="C122" s="15" t="str">
        <f>"DP-02/1-9704/15"</f>
        <v>DP-02/1-9704/15</v>
      </c>
      <c r="D122" s="15" t="str">
        <f t="shared" si="4"/>
        <v>HRVATSKA POŠTA D.D.</v>
      </c>
      <c r="E122" s="16">
        <v>42009</v>
      </c>
      <c r="F122" s="16">
        <v>42403</v>
      </c>
      <c r="G122" s="13">
        <v>163288.5</v>
      </c>
      <c r="H122" s="16">
        <v>42403</v>
      </c>
      <c r="I122" s="13">
        <v>94250.79</v>
      </c>
      <c r="J122" s="13">
        <f t="shared" si="3"/>
        <v>117813.48749999999</v>
      </c>
      <c r="K122" s="6"/>
    </row>
    <row r="123" spans="1:11" ht="24" x14ac:dyDescent="0.25">
      <c r="A123" s="3">
        <v>116</v>
      </c>
      <c r="B123" s="14" t="s">
        <v>43</v>
      </c>
      <c r="C123" s="15" t="str">
        <f>"DP-2-3395/15"</f>
        <v>DP-2-3395/15</v>
      </c>
      <c r="D123" s="15" t="str">
        <f t="shared" si="4"/>
        <v>HRVATSKA POŠTA D.D.</v>
      </c>
      <c r="E123" s="16">
        <v>42016</v>
      </c>
      <c r="F123" s="16">
        <v>42403</v>
      </c>
      <c r="G123" s="13">
        <v>363738.05</v>
      </c>
      <c r="H123" s="16">
        <v>42403</v>
      </c>
      <c r="I123" s="13">
        <v>409851</v>
      </c>
      <c r="J123" s="13">
        <f t="shared" si="3"/>
        <v>512313.75</v>
      </c>
      <c r="K123" s="6"/>
    </row>
    <row r="124" spans="1:11" x14ac:dyDescent="0.25">
      <c r="A124" s="3">
        <v>117</v>
      </c>
      <c r="B124" s="14" t="s">
        <v>35</v>
      </c>
      <c r="C124" s="15" t="str">
        <f>"DP-02-3691/15"</f>
        <v>DP-02-3691/15</v>
      </c>
      <c r="D124" s="15" t="str">
        <f t="shared" si="4"/>
        <v>HRVATSKA POŠTA D.D.</v>
      </c>
      <c r="E124" s="16">
        <v>42038</v>
      </c>
      <c r="F124" s="16">
        <v>42118</v>
      </c>
      <c r="G124" s="13">
        <v>4165.2</v>
      </c>
      <c r="H124" s="16">
        <v>42118</v>
      </c>
      <c r="I124" s="13">
        <v>3980.5</v>
      </c>
      <c r="J124" s="13">
        <f t="shared" si="3"/>
        <v>4975.625</v>
      </c>
      <c r="K124" s="6"/>
    </row>
    <row r="125" spans="1:11" x14ac:dyDescent="0.25">
      <c r="A125" s="3">
        <v>118</v>
      </c>
      <c r="B125" s="14" t="s">
        <v>168</v>
      </c>
      <c r="C125" s="15" t="str">
        <f>"DP-02/2-1310/15"</f>
        <v>DP-02/2-1310/15</v>
      </c>
      <c r="D125" s="15" t="str">
        <f t="shared" si="4"/>
        <v>HRVATSKA POŠTA D.D.</v>
      </c>
      <c r="E125" s="16">
        <v>42005</v>
      </c>
      <c r="F125" s="16">
        <v>42403</v>
      </c>
      <c r="G125" s="13">
        <v>686807.8</v>
      </c>
      <c r="H125" s="16">
        <v>42403</v>
      </c>
      <c r="I125" s="13">
        <v>1016590.61</v>
      </c>
      <c r="J125" s="13">
        <f t="shared" si="3"/>
        <v>1270738.2625</v>
      </c>
      <c r="K125" s="6"/>
    </row>
    <row r="126" spans="1:11" x14ac:dyDescent="0.25">
      <c r="A126" s="3">
        <v>119</v>
      </c>
      <c r="B126" s="14" t="s">
        <v>60</v>
      </c>
      <c r="C126" s="15" t="str">
        <f>"DP-02/2-1311/15"</f>
        <v>DP-02/2-1311/15</v>
      </c>
      <c r="D126" s="15" t="str">
        <f t="shared" si="4"/>
        <v>HRVATSKA POŠTA D.D.</v>
      </c>
      <c r="E126" s="16">
        <v>42039</v>
      </c>
      <c r="F126" s="16">
        <v>42403</v>
      </c>
      <c r="G126" s="13">
        <v>6970.3</v>
      </c>
      <c r="H126" s="16">
        <v>42403</v>
      </c>
      <c r="I126" s="13">
        <v>3752.56</v>
      </c>
      <c r="J126" s="13">
        <f t="shared" si="3"/>
        <v>4690.7</v>
      </c>
      <c r="K126" s="6"/>
    </row>
    <row r="127" spans="1:11" ht="24" x14ac:dyDescent="0.25">
      <c r="A127" s="3">
        <v>120</v>
      </c>
      <c r="B127" s="14" t="s">
        <v>324</v>
      </c>
      <c r="C127" s="15" t="str">
        <f>"DP-02/2-1313/115"</f>
        <v>DP-02/2-1313/115</v>
      </c>
      <c r="D127" s="15" t="str">
        <f t="shared" si="4"/>
        <v>HRVATSKA POŠTA D.D.</v>
      </c>
      <c r="E127" s="16">
        <v>41669</v>
      </c>
      <c r="F127" s="16">
        <v>42403</v>
      </c>
      <c r="G127" s="13">
        <v>18783.349999999999</v>
      </c>
      <c r="H127" s="16">
        <v>42403</v>
      </c>
      <c r="I127" s="13">
        <v>15622.25</v>
      </c>
      <c r="J127" s="13">
        <f t="shared" si="3"/>
        <v>19527.8125</v>
      </c>
      <c r="K127" s="6"/>
    </row>
    <row r="128" spans="1:11" ht="24" x14ac:dyDescent="0.25">
      <c r="A128" s="3">
        <v>121</v>
      </c>
      <c r="B128" s="14" t="s">
        <v>342</v>
      </c>
      <c r="C128" s="15" t="str">
        <f>"DP-02/2-1314/15"</f>
        <v>DP-02/2-1314/15</v>
      </c>
      <c r="D128" s="15" t="str">
        <f t="shared" si="4"/>
        <v>HRVATSKA POŠTA D.D.</v>
      </c>
      <c r="E128" s="16">
        <v>41669</v>
      </c>
      <c r="F128" s="16">
        <v>42403</v>
      </c>
      <c r="G128" s="13">
        <v>57123.26</v>
      </c>
      <c r="H128" s="16">
        <v>42403</v>
      </c>
      <c r="I128" s="13">
        <v>37780.26</v>
      </c>
      <c r="J128" s="13">
        <f t="shared" si="3"/>
        <v>47225.325000000004</v>
      </c>
      <c r="K128" s="6"/>
    </row>
    <row r="129" spans="1:11" x14ac:dyDescent="0.25">
      <c r="A129" s="3">
        <v>122</v>
      </c>
      <c r="B129" s="14" t="s">
        <v>53</v>
      </c>
      <c r="C129" s="15" t="str">
        <f>"DP-02-14796/14"</f>
        <v>DP-02-14796/14</v>
      </c>
      <c r="D129" s="15" t="str">
        <f t="shared" si="4"/>
        <v>HRVATSKA POŠTA D.D.</v>
      </c>
      <c r="E129" s="16">
        <v>42004</v>
      </c>
      <c r="F129" s="16">
        <v>42369</v>
      </c>
      <c r="G129" s="13">
        <v>298127.15000000002</v>
      </c>
      <c r="H129" s="16">
        <v>42369</v>
      </c>
      <c r="I129" s="13">
        <v>197990.07</v>
      </c>
      <c r="J129" s="13">
        <f t="shared" si="3"/>
        <v>247487.58750000002</v>
      </c>
      <c r="K129" s="6"/>
    </row>
    <row r="130" spans="1:11" x14ac:dyDescent="0.25">
      <c r="A130" s="3">
        <v>123</v>
      </c>
      <c r="B130" s="14" t="s">
        <v>25</v>
      </c>
      <c r="C130" s="15" t="str">
        <f>"DP-2-32473/14"</f>
        <v>DP-2-32473/14</v>
      </c>
      <c r="D130" s="15" t="str">
        <f t="shared" si="4"/>
        <v>HRVATSKA POŠTA D.D.</v>
      </c>
      <c r="E130" s="16">
        <v>41989</v>
      </c>
      <c r="F130" s="16">
        <v>42369</v>
      </c>
      <c r="G130" s="13">
        <v>289821.42</v>
      </c>
      <c r="H130" s="16">
        <v>42369</v>
      </c>
      <c r="I130" s="13">
        <v>247263.21</v>
      </c>
      <c r="J130" s="13">
        <f t="shared" si="3"/>
        <v>309079.01250000001</v>
      </c>
      <c r="K130" s="6"/>
    </row>
    <row r="131" spans="1:11" x14ac:dyDescent="0.25">
      <c r="A131" s="3">
        <v>124</v>
      </c>
      <c r="B131" s="14" t="s">
        <v>26</v>
      </c>
      <c r="C131" s="15" t="str">
        <f>"1-2015"</f>
        <v>1-2015</v>
      </c>
      <c r="D131" s="15" t="str">
        <f t="shared" si="4"/>
        <v>HRVATSKA POŠTA D.D.</v>
      </c>
      <c r="E131" s="16">
        <v>41989</v>
      </c>
      <c r="F131" s="16">
        <v>42336</v>
      </c>
      <c r="G131" s="13">
        <v>196627.7</v>
      </c>
      <c r="H131" s="16">
        <v>42336</v>
      </c>
      <c r="I131" s="13">
        <v>157891.93</v>
      </c>
      <c r="J131" s="13">
        <f t="shared" si="3"/>
        <v>197364.91249999998</v>
      </c>
      <c r="K131" s="6"/>
    </row>
    <row r="132" spans="1:11" x14ac:dyDescent="0.25">
      <c r="A132" s="3">
        <v>125</v>
      </c>
      <c r="B132" s="14"/>
      <c r="C132" s="15" t="str">
        <f>"DP-2/5-8608/14"</f>
        <v>DP-2/5-8608/14</v>
      </c>
      <c r="D132" s="15" t="str">
        <f t="shared" si="4"/>
        <v>HRVATSKA POŠTA D.D.</v>
      </c>
      <c r="E132" s="16">
        <v>42005</v>
      </c>
      <c r="F132" s="16"/>
      <c r="G132" s="13">
        <v>47987.79</v>
      </c>
      <c r="H132" s="16"/>
      <c r="I132" s="13">
        <v>47987.79</v>
      </c>
      <c r="J132" s="13">
        <f t="shared" si="3"/>
        <v>59984.737500000003</v>
      </c>
      <c r="K132" s="6"/>
    </row>
    <row r="133" spans="1:11" ht="24" x14ac:dyDescent="0.25">
      <c r="A133" s="3">
        <v>126</v>
      </c>
      <c r="B133" s="14" t="s">
        <v>62</v>
      </c>
      <c r="C133" s="15" t="str">
        <f>"030-01/14-04/17"</f>
        <v>030-01/14-04/17</v>
      </c>
      <c r="D133" s="15" t="str">
        <f t="shared" si="4"/>
        <v>HRVATSKA POŠTA D.D.</v>
      </c>
      <c r="E133" s="16">
        <v>42426</v>
      </c>
      <c r="F133" s="16">
        <v>42403</v>
      </c>
      <c r="G133" s="13">
        <v>0</v>
      </c>
      <c r="H133" s="16">
        <v>42403</v>
      </c>
      <c r="I133" s="13">
        <v>250404</v>
      </c>
      <c r="J133" s="13">
        <f t="shared" si="3"/>
        <v>313005</v>
      </c>
      <c r="K133" s="6"/>
    </row>
    <row r="134" spans="1:11" x14ac:dyDescent="0.25">
      <c r="A134" s="3">
        <v>127</v>
      </c>
      <c r="B134" s="14" t="s">
        <v>51</v>
      </c>
      <c r="C134" s="15" t="str">
        <f>"BR.II/11-2013"</f>
        <v>BR.II/11-2013</v>
      </c>
      <c r="D134" s="15" t="str">
        <f t="shared" si="4"/>
        <v>HRVATSKA POŠTA D.D.</v>
      </c>
      <c r="E134" s="16">
        <v>42003</v>
      </c>
      <c r="F134" s="16">
        <v>42403</v>
      </c>
      <c r="G134" s="13">
        <v>634670.6</v>
      </c>
      <c r="H134" s="16">
        <v>42403</v>
      </c>
      <c r="I134" s="13">
        <v>634670.6</v>
      </c>
      <c r="J134" s="13">
        <f t="shared" si="3"/>
        <v>793338.25</v>
      </c>
      <c r="K134" s="6"/>
    </row>
    <row r="135" spans="1:11" ht="24" x14ac:dyDescent="0.25">
      <c r="A135" s="3">
        <v>128</v>
      </c>
      <c r="B135" s="14" t="s">
        <v>52</v>
      </c>
      <c r="C135" s="15" t="str">
        <f>"11-2013-DUSJN"</f>
        <v>11-2013-DUSJN</v>
      </c>
      <c r="D135" s="15" t="str">
        <f t="shared" si="4"/>
        <v>HRVATSKA POŠTA D.D.</v>
      </c>
      <c r="E135" s="16">
        <v>41969</v>
      </c>
      <c r="F135" s="16">
        <v>42403</v>
      </c>
      <c r="G135" s="13">
        <v>19760.900000000001</v>
      </c>
      <c r="H135" s="16">
        <v>42403</v>
      </c>
      <c r="I135" s="13">
        <v>2303.6</v>
      </c>
      <c r="J135" s="13">
        <f t="shared" si="3"/>
        <v>2879.5</v>
      </c>
      <c r="K135" s="6"/>
    </row>
    <row r="136" spans="1:11" ht="24" x14ac:dyDescent="0.25">
      <c r="A136" s="3">
        <v>129</v>
      </c>
      <c r="B136" s="14" t="s">
        <v>70</v>
      </c>
      <c r="C136" s="15" t="str">
        <f>"DP-02/2-19082/14"</f>
        <v>DP-02/2-19082/14</v>
      </c>
      <c r="D136" s="15" t="str">
        <f t="shared" si="4"/>
        <v>HRVATSKA POŠTA D.D.</v>
      </c>
      <c r="E136" s="16">
        <v>41673</v>
      </c>
      <c r="F136" s="16">
        <v>42403</v>
      </c>
      <c r="G136" s="13">
        <v>20093.5</v>
      </c>
      <c r="H136" s="16">
        <v>42403</v>
      </c>
      <c r="I136" s="13">
        <v>7271.8</v>
      </c>
      <c r="J136" s="13">
        <f t="shared" si="3"/>
        <v>9089.75</v>
      </c>
      <c r="K136" s="6"/>
    </row>
    <row r="137" spans="1:11" x14ac:dyDescent="0.25">
      <c r="A137" s="3">
        <v>130</v>
      </c>
      <c r="B137" s="14" t="s">
        <v>41</v>
      </c>
      <c r="C137" s="15" t="str">
        <f>"11/2013-63"</f>
        <v>11/2013-63</v>
      </c>
      <c r="D137" s="15" t="str">
        <f t="shared" si="4"/>
        <v>HRVATSKA POŠTA D.D.</v>
      </c>
      <c r="E137" s="16">
        <v>41824</v>
      </c>
      <c r="F137" s="16">
        <v>42403</v>
      </c>
      <c r="G137" s="13">
        <v>2441357.2000000002</v>
      </c>
      <c r="H137" s="16">
        <v>42403</v>
      </c>
      <c r="I137" s="13">
        <v>1173384.32</v>
      </c>
      <c r="J137" s="13">
        <f t="shared" ref="J137:J200" si="5">I137*1.25</f>
        <v>1466730.4000000001</v>
      </c>
      <c r="K137" s="6"/>
    </row>
    <row r="138" spans="1:11" x14ac:dyDescent="0.25">
      <c r="A138" s="3">
        <v>131</v>
      </c>
      <c r="B138" s="14" t="s">
        <v>29</v>
      </c>
      <c r="C138" s="15" t="str">
        <f>"DP-02-010005/15"</f>
        <v>DP-02-010005/15</v>
      </c>
      <c r="D138" s="15" t="str">
        <f t="shared" si="4"/>
        <v>HRVATSKA POŠTA D.D.</v>
      </c>
      <c r="E138" s="16">
        <v>41823</v>
      </c>
      <c r="F138" s="16">
        <v>42403</v>
      </c>
      <c r="G138" s="13">
        <v>100100555.22</v>
      </c>
      <c r="H138" s="16">
        <v>42403</v>
      </c>
      <c r="I138" s="13">
        <v>31529937.059999999</v>
      </c>
      <c r="J138" s="13">
        <f t="shared" si="5"/>
        <v>39412421.324999996</v>
      </c>
      <c r="K138" s="6"/>
    </row>
    <row r="139" spans="1:11" ht="24" x14ac:dyDescent="0.25">
      <c r="A139" s="3">
        <v>132</v>
      </c>
      <c r="B139" s="14" t="s">
        <v>38</v>
      </c>
      <c r="C139" s="15" t="str">
        <f>"DP-02/1-019207/14"</f>
        <v>DP-02/1-019207/14</v>
      </c>
      <c r="D139" s="15" t="str">
        <f t="shared" si="4"/>
        <v>HRVATSKA POŠTA D.D.</v>
      </c>
      <c r="E139" s="16">
        <v>41821</v>
      </c>
      <c r="F139" s="16">
        <v>42403</v>
      </c>
      <c r="G139" s="13">
        <v>46968.36</v>
      </c>
      <c r="H139" s="16">
        <v>42403</v>
      </c>
      <c r="I139" s="13">
        <v>12137.18</v>
      </c>
      <c r="J139" s="13">
        <f t="shared" si="5"/>
        <v>15171.475</v>
      </c>
      <c r="K139" s="6"/>
    </row>
    <row r="140" spans="1:11" ht="24" x14ac:dyDescent="0.25">
      <c r="A140" s="3">
        <v>133</v>
      </c>
      <c r="B140" s="14" t="s">
        <v>330</v>
      </c>
      <c r="C140" s="15" t="str">
        <f>"11007R1400215"</f>
        <v>11007R1400215</v>
      </c>
      <c r="D140" s="15" t="str">
        <f t="shared" si="4"/>
        <v>HRVATSKA POŠTA D.D.</v>
      </c>
      <c r="E140" s="16">
        <v>42433</v>
      </c>
      <c r="F140" s="16">
        <v>42403</v>
      </c>
      <c r="G140" s="13">
        <v>14512.46</v>
      </c>
      <c r="H140" s="16">
        <v>42403</v>
      </c>
      <c r="I140" s="13">
        <v>7075.64</v>
      </c>
      <c r="J140" s="13">
        <f t="shared" si="5"/>
        <v>8844.5500000000011</v>
      </c>
      <c r="K140" s="6"/>
    </row>
    <row r="141" spans="1:11" ht="36" x14ac:dyDescent="0.25">
      <c r="A141" s="3">
        <v>134</v>
      </c>
      <c r="B141" s="14" t="s">
        <v>632</v>
      </c>
      <c r="C141" s="15" t="str">
        <f>"DP-02/1-015384/14"</f>
        <v>DP-02/1-015384/14</v>
      </c>
      <c r="D141" s="15" t="str">
        <f t="shared" si="4"/>
        <v>HRVATSKA POŠTA D.D.</v>
      </c>
      <c r="E141" s="16">
        <v>41789</v>
      </c>
      <c r="F141" s="16">
        <v>42403</v>
      </c>
      <c r="G141" s="13">
        <v>140580.29999999999</v>
      </c>
      <c r="H141" s="16">
        <v>42403</v>
      </c>
      <c r="I141" s="13">
        <v>116744.27</v>
      </c>
      <c r="J141" s="13">
        <f t="shared" si="5"/>
        <v>145930.33749999999</v>
      </c>
      <c r="K141" s="6"/>
    </row>
    <row r="142" spans="1:11" ht="24" x14ac:dyDescent="0.25">
      <c r="A142" s="3">
        <v>135</v>
      </c>
      <c r="B142" s="14" t="s">
        <v>423</v>
      </c>
      <c r="C142" s="15" t="str">
        <f>"DP-02/1-008735/14"</f>
        <v>DP-02/1-008735/14</v>
      </c>
      <c r="D142" s="15" t="str">
        <f t="shared" si="4"/>
        <v>HRVATSKA POŠTA D.D.</v>
      </c>
      <c r="E142" s="16">
        <v>42472</v>
      </c>
      <c r="F142" s="16">
        <v>42403</v>
      </c>
      <c r="G142" s="13">
        <v>495802</v>
      </c>
      <c r="H142" s="16">
        <v>42403</v>
      </c>
      <c r="I142" s="13">
        <v>52092</v>
      </c>
      <c r="J142" s="13">
        <f t="shared" si="5"/>
        <v>65115</v>
      </c>
      <c r="K142" s="6"/>
    </row>
    <row r="143" spans="1:11" ht="24" x14ac:dyDescent="0.25">
      <c r="A143" s="3">
        <v>136</v>
      </c>
      <c r="B143" s="14" t="s">
        <v>30</v>
      </c>
      <c r="C143" s="15" t="str">
        <f>"510-C-U-0007/14-90"</f>
        <v>510-C-U-0007/14-90</v>
      </c>
      <c r="D143" s="15" t="str">
        <f t="shared" si="4"/>
        <v>HRVATSKA POŠTA D.D.</v>
      </c>
      <c r="E143" s="16">
        <v>41785</v>
      </c>
      <c r="F143" s="16">
        <v>42125</v>
      </c>
      <c r="G143" s="13">
        <v>199999</v>
      </c>
      <c r="H143" s="16">
        <v>42125</v>
      </c>
      <c r="I143" s="13">
        <v>324621</v>
      </c>
      <c r="J143" s="13">
        <f t="shared" si="5"/>
        <v>405776.25</v>
      </c>
      <c r="K143" s="6"/>
    </row>
    <row r="144" spans="1:11" x14ac:dyDescent="0.25">
      <c r="A144" s="3">
        <v>137</v>
      </c>
      <c r="B144" s="14" t="s">
        <v>269</v>
      </c>
      <c r="C144" s="15" t="str">
        <f>"DP-2/3-10714/14"</f>
        <v>DP-2/3-10714/14</v>
      </c>
      <c r="D144" s="15" t="str">
        <f t="shared" si="4"/>
        <v>HRVATSKA POŠTA D.D.</v>
      </c>
      <c r="E144" s="16">
        <v>41758</v>
      </c>
      <c r="F144" s="16">
        <v>42403</v>
      </c>
      <c r="G144" s="13">
        <v>225770.86</v>
      </c>
      <c r="H144" s="16">
        <v>42403</v>
      </c>
      <c r="I144" s="13">
        <v>214413.78</v>
      </c>
      <c r="J144" s="13">
        <f t="shared" si="5"/>
        <v>268017.22499999998</v>
      </c>
      <c r="K144" s="6"/>
    </row>
    <row r="145" spans="1:11" ht="24" x14ac:dyDescent="0.25">
      <c r="A145" s="3">
        <v>138</v>
      </c>
      <c r="B145" s="14" t="s">
        <v>350</v>
      </c>
      <c r="C145" s="15" t="str">
        <f>"DP-02/4-012135/14"</f>
        <v>DP-02/4-012135/14</v>
      </c>
      <c r="D145" s="15" t="str">
        <f t="shared" si="4"/>
        <v>HRVATSKA POŠTA D.D.</v>
      </c>
      <c r="E145" s="16">
        <v>41760</v>
      </c>
      <c r="F145" s="16">
        <v>42403</v>
      </c>
      <c r="G145" s="13">
        <v>189525.16</v>
      </c>
      <c r="H145" s="16">
        <v>42403</v>
      </c>
      <c r="I145" s="13">
        <v>96639.86</v>
      </c>
      <c r="J145" s="13">
        <f t="shared" si="5"/>
        <v>120799.825</v>
      </c>
      <c r="K145" s="6"/>
    </row>
    <row r="146" spans="1:11" ht="24" x14ac:dyDescent="0.25">
      <c r="A146" s="3">
        <v>139</v>
      </c>
      <c r="B146" s="14" t="s">
        <v>405</v>
      </c>
      <c r="C146" s="15" t="str">
        <f>"DP-02/4-13038/14"</f>
        <v>DP-02/4-13038/14</v>
      </c>
      <c r="D146" s="15" t="str">
        <f t="shared" si="4"/>
        <v>HRVATSKA POŠTA D.D.</v>
      </c>
      <c r="E146" s="16">
        <v>41767</v>
      </c>
      <c r="F146" s="16">
        <v>42403</v>
      </c>
      <c r="G146" s="13">
        <v>225406.5</v>
      </c>
      <c r="H146" s="16">
        <v>42403</v>
      </c>
      <c r="I146" s="13">
        <v>85707.37</v>
      </c>
      <c r="J146" s="13">
        <f t="shared" si="5"/>
        <v>107134.21249999999</v>
      </c>
      <c r="K146" s="6"/>
    </row>
    <row r="147" spans="1:11" ht="24" x14ac:dyDescent="0.25">
      <c r="A147" s="3">
        <v>140</v>
      </c>
      <c r="B147" s="14" t="s">
        <v>36</v>
      </c>
      <c r="C147" s="15" t="str">
        <f>"DP-02-011103/2014"</f>
        <v>DP-02-011103/2014</v>
      </c>
      <c r="D147" s="15" t="str">
        <f t="shared" si="4"/>
        <v>HRVATSKA POŠTA D.D.</v>
      </c>
      <c r="E147" s="16">
        <v>41753</v>
      </c>
      <c r="F147" s="16">
        <v>42403</v>
      </c>
      <c r="G147" s="13">
        <v>1405020.18</v>
      </c>
      <c r="H147" s="16">
        <v>42403</v>
      </c>
      <c r="I147" s="13">
        <v>945196.86</v>
      </c>
      <c r="J147" s="13">
        <f t="shared" si="5"/>
        <v>1181496.075</v>
      </c>
      <c r="K147" s="6"/>
    </row>
    <row r="148" spans="1:11" ht="24" x14ac:dyDescent="0.25">
      <c r="A148" s="3">
        <v>141</v>
      </c>
      <c r="B148" s="14" t="s">
        <v>55</v>
      </c>
      <c r="C148" s="15" t="str">
        <f>"27-64-14-1"</f>
        <v>27-64-14-1</v>
      </c>
      <c r="D148" s="15" t="str">
        <f t="shared" si="4"/>
        <v>HRVATSKA POŠTA D.D.</v>
      </c>
      <c r="E148" s="16">
        <v>41753</v>
      </c>
      <c r="F148" s="16">
        <v>42403</v>
      </c>
      <c r="G148" s="13">
        <v>1476608.9</v>
      </c>
      <c r="H148" s="16">
        <v>42403</v>
      </c>
      <c r="I148" s="13">
        <v>959667.05</v>
      </c>
      <c r="J148" s="13">
        <f t="shared" si="5"/>
        <v>1199583.8125</v>
      </c>
      <c r="K148" s="6"/>
    </row>
    <row r="149" spans="1:11" x14ac:dyDescent="0.25">
      <c r="A149" s="3">
        <v>142</v>
      </c>
      <c r="B149" s="14" t="s">
        <v>278</v>
      </c>
      <c r="C149" s="15" t="str">
        <f>"DP-02/2-9896-14"</f>
        <v>DP-02/2-9896-14</v>
      </c>
      <c r="D149" s="15" t="str">
        <f t="shared" si="4"/>
        <v>HRVATSKA POŠTA D.D.</v>
      </c>
      <c r="E149" s="16">
        <v>41745</v>
      </c>
      <c r="F149" s="16">
        <v>42403</v>
      </c>
      <c r="G149" s="13">
        <v>1191201.56</v>
      </c>
      <c r="H149" s="16">
        <v>42403</v>
      </c>
      <c r="I149" s="13">
        <v>1191201.56</v>
      </c>
      <c r="J149" s="13">
        <f t="shared" si="5"/>
        <v>1489001.9500000002</v>
      </c>
      <c r="K149" s="6"/>
    </row>
    <row r="150" spans="1:11" ht="36" x14ac:dyDescent="0.25">
      <c r="A150" s="3">
        <v>143</v>
      </c>
      <c r="B150" s="14" t="s">
        <v>59</v>
      </c>
      <c r="C150" s="15" t="str">
        <f>"DP-2-008597/14"</f>
        <v>DP-2-008597/14</v>
      </c>
      <c r="D150" s="15" t="str">
        <f t="shared" si="4"/>
        <v>HRVATSKA POŠTA D.D.</v>
      </c>
      <c r="E150" s="16">
        <v>41739</v>
      </c>
      <c r="F150" s="16">
        <v>42403</v>
      </c>
      <c r="G150" s="13">
        <v>778103.44</v>
      </c>
      <c r="H150" s="16">
        <v>42403</v>
      </c>
      <c r="I150" s="13">
        <v>95496.42</v>
      </c>
      <c r="J150" s="13">
        <f t="shared" si="5"/>
        <v>119370.52499999999</v>
      </c>
      <c r="K150" s="6"/>
    </row>
    <row r="151" spans="1:11" x14ac:dyDescent="0.25">
      <c r="A151" s="3">
        <v>144</v>
      </c>
      <c r="B151" s="14" t="s">
        <v>73</v>
      </c>
      <c r="C151" s="15" t="str">
        <f>"DP-02/6-9419/14"</f>
        <v>DP-02/6-9419/14</v>
      </c>
      <c r="D151" s="15" t="str">
        <f t="shared" ref="D151:D214" si="6">CONCATENATE("HRVATSKA POŠTA D.D.")</f>
        <v>HRVATSKA POŠTA D.D.</v>
      </c>
      <c r="E151" s="16">
        <v>42429</v>
      </c>
      <c r="F151" s="16"/>
      <c r="G151" s="13">
        <v>50820.91</v>
      </c>
      <c r="H151" s="16"/>
      <c r="I151" s="13">
        <v>16423.330000000002</v>
      </c>
      <c r="J151" s="13">
        <f t="shared" si="5"/>
        <v>20529.162500000002</v>
      </c>
      <c r="K151" s="6"/>
    </row>
    <row r="152" spans="1:11" x14ac:dyDescent="0.25">
      <c r="A152" s="3">
        <v>145</v>
      </c>
      <c r="B152" s="14" t="s">
        <v>74</v>
      </c>
      <c r="C152" s="15" t="str">
        <f>"21489/13"</f>
        <v>21489/13</v>
      </c>
      <c r="D152" s="15" t="str">
        <f t="shared" si="6"/>
        <v>HRVATSKA POŠTA D.D.</v>
      </c>
      <c r="E152" s="16">
        <v>42426</v>
      </c>
      <c r="F152" s="16"/>
      <c r="G152" s="13">
        <v>47391.45</v>
      </c>
      <c r="H152" s="16"/>
      <c r="I152" s="13">
        <v>16842.78</v>
      </c>
      <c r="J152" s="13">
        <f t="shared" si="5"/>
        <v>21053.474999999999</v>
      </c>
      <c r="K152" s="6"/>
    </row>
    <row r="153" spans="1:11" x14ac:dyDescent="0.25">
      <c r="A153" s="3">
        <v>146</v>
      </c>
      <c r="B153" s="14" t="s">
        <v>378</v>
      </c>
      <c r="C153" s="15" t="str">
        <f>"DP-2-9587/14"</f>
        <v>DP-2-9587/14</v>
      </c>
      <c r="D153" s="15" t="str">
        <f t="shared" si="6"/>
        <v>HRVATSKA POŠTA D.D.</v>
      </c>
      <c r="E153" s="16">
        <v>41730</v>
      </c>
      <c r="F153" s="16">
        <v>42403</v>
      </c>
      <c r="G153" s="13">
        <v>532261.68000000005</v>
      </c>
      <c r="H153" s="16">
        <v>42403</v>
      </c>
      <c r="I153" s="13">
        <v>456354.39</v>
      </c>
      <c r="J153" s="13">
        <f t="shared" si="5"/>
        <v>570442.98750000005</v>
      </c>
      <c r="K153" s="6"/>
    </row>
    <row r="154" spans="1:11" ht="24" x14ac:dyDescent="0.25">
      <c r="A154" s="3">
        <v>147</v>
      </c>
      <c r="B154" s="14" t="s">
        <v>633</v>
      </c>
      <c r="C154" s="15" t="str">
        <f>"DP-02-214891/13"</f>
        <v>DP-02-214891/13</v>
      </c>
      <c r="D154" s="15" t="str">
        <f t="shared" si="6"/>
        <v>HRVATSKA POŠTA D.D.</v>
      </c>
      <c r="E154" s="16">
        <v>42458</v>
      </c>
      <c r="F154" s="16">
        <v>42463</v>
      </c>
      <c r="G154" s="13">
        <v>69504.94</v>
      </c>
      <c r="H154" s="16">
        <v>42463</v>
      </c>
      <c r="I154" s="13">
        <v>57141.37</v>
      </c>
      <c r="J154" s="13">
        <f t="shared" si="5"/>
        <v>71426.712500000009</v>
      </c>
      <c r="K154" s="6"/>
    </row>
    <row r="155" spans="1:11" x14ac:dyDescent="0.25">
      <c r="A155" s="3">
        <v>148</v>
      </c>
      <c r="B155" s="14" t="s">
        <v>182</v>
      </c>
      <c r="C155" s="15" t="str">
        <f>"DP-02/6-9867/14"</f>
        <v>DP-02/6-9867/14</v>
      </c>
      <c r="D155" s="15" t="str">
        <f t="shared" si="6"/>
        <v>HRVATSKA POŠTA D.D.</v>
      </c>
      <c r="E155" s="16">
        <v>41606</v>
      </c>
      <c r="F155" s="16">
        <v>42460</v>
      </c>
      <c r="G155" s="13">
        <v>2008644.38</v>
      </c>
      <c r="H155" s="16">
        <v>42460</v>
      </c>
      <c r="I155" s="13">
        <v>256481.63</v>
      </c>
      <c r="J155" s="13">
        <f t="shared" si="5"/>
        <v>320602.03749999998</v>
      </c>
      <c r="K155" s="6"/>
    </row>
    <row r="156" spans="1:11" ht="24" x14ac:dyDescent="0.25">
      <c r="A156" s="3">
        <v>149</v>
      </c>
      <c r="B156" s="14" t="s">
        <v>325</v>
      </c>
      <c r="C156" s="15" t="str">
        <f>"DP-02/5-8495/14"</f>
        <v>DP-02/5-8495/14</v>
      </c>
      <c r="D156" s="15" t="str">
        <f t="shared" si="6"/>
        <v>HRVATSKA POŠTA D.D.</v>
      </c>
      <c r="E156" s="16">
        <v>41723</v>
      </c>
      <c r="F156" s="16">
        <v>42460</v>
      </c>
      <c r="G156" s="13">
        <v>47510.6</v>
      </c>
      <c r="H156" s="16">
        <v>42460</v>
      </c>
      <c r="I156" s="13">
        <v>43826.879999999997</v>
      </c>
      <c r="J156" s="13">
        <f t="shared" si="5"/>
        <v>54783.6</v>
      </c>
      <c r="K156" s="6"/>
    </row>
    <row r="157" spans="1:11" x14ac:dyDescent="0.25">
      <c r="A157" s="3">
        <v>150</v>
      </c>
      <c r="B157" s="14" t="s">
        <v>337</v>
      </c>
      <c r="C157" s="15" t="str">
        <f>"88/2014-8"</f>
        <v>88/2014-8</v>
      </c>
      <c r="D157" s="15" t="str">
        <f t="shared" si="6"/>
        <v>HRVATSKA POŠTA D.D.</v>
      </c>
      <c r="E157" s="16">
        <v>41673</v>
      </c>
      <c r="F157" s="16"/>
      <c r="G157" s="13">
        <v>540058.19999999995</v>
      </c>
      <c r="H157" s="16"/>
      <c r="I157" s="13">
        <v>171123.58</v>
      </c>
      <c r="J157" s="13">
        <f t="shared" si="5"/>
        <v>213904.47499999998</v>
      </c>
      <c r="K157" s="6"/>
    </row>
    <row r="158" spans="1:11" ht="24" x14ac:dyDescent="0.25">
      <c r="A158" s="3">
        <v>151</v>
      </c>
      <c r="B158" s="14"/>
      <c r="C158" s="15" t="str">
        <f>"DP-02/1-008937/14"</f>
        <v>DP-02/1-008937/14</v>
      </c>
      <c r="D158" s="15" t="str">
        <f t="shared" si="6"/>
        <v>HRVATSKA POŠTA D.D.</v>
      </c>
      <c r="E158" s="16">
        <v>41725</v>
      </c>
      <c r="F158" s="16">
        <v>42090</v>
      </c>
      <c r="G158" s="13">
        <v>40829.1</v>
      </c>
      <c r="H158" s="16">
        <v>42090</v>
      </c>
      <c r="I158" s="13">
        <v>16073.06</v>
      </c>
      <c r="J158" s="13">
        <f t="shared" si="5"/>
        <v>20091.325000000001</v>
      </c>
      <c r="K158" s="6"/>
    </row>
    <row r="159" spans="1:11" ht="24" x14ac:dyDescent="0.25">
      <c r="A159" s="3">
        <v>152</v>
      </c>
      <c r="B159" s="14" t="s">
        <v>403</v>
      </c>
      <c r="C159" s="15" t="str">
        <f>"DP-02/5-9127/14"</f>
        <v>DP-02/5-9127/14</v>
      </c>
      <c r="D159" s="15" t="str">
        <f t="shared" si="6"/>
        <v>HRVATSKA POŠTA D.D.</v>
      </c>
      <c r="E159" s="16">
        <v>41736</v>
      </c>
      <c r="F159" s="16">
        <v>42185</v>
      </c>
      <c r="G159" s="13">
        <v>166932.44</v>
      </c>
      <c r="H159" s="16">
        <v>42185</v>
      </c>
      <c r="I159" s="13">
        <v>38991.800000000003</v>
      </c>
      <c r="J159" s="13">
        <f t="shared" si="5"/>
        <v>48739.75</v>
      </c>
      <c r="K159" s="6"/>
    </row>
    <row r="160" spans="1:11" x14ac:dyDescent="0.25">
      <c r="A160" s="3">
        <v>153</v>
      </c>
      <c r="B160" s="14" t="s">
        <v>355</v>
      </c>
      <c r="C160" s="15" t="str">
        <f>"41 SU 82/2013"</f>
        <v>41 SU 82/2013</v>
      </c>
      <c r="D160" s="15" t="str">
        <f t="shared" si="6"/>
        <v>HRVATSKA POŠTA D.D.</v>
      </c>
      <c r="E160" s="16">
        <v>41730</v>
      </c>
      <c r="F160" s="16">
        <v>42403</v>
      </c>
      <c r="G160" s="13">
        <v>128303.6</v>
      </c>
      <c r="H160" s="16">
        <v>42403</v>
      </c>
      <c r="I160" s="13">
        <v>128303.6</v>
      </c>
      <c r="J160" s="13">
        <f t="shared" si="5"/>
        <v>160379.5</v>
      </c>
      <c r="K160" s="6"/>
    </row>
    <row r="161" spans="1:11" x14ac:dyDescent="0.25">
      <c r="A161" s="3">
        <v>154</v>
      </c>
      <c r="B161" s="14" t="s">
        <v>338</v>
      </c>
      <c r="C161" s="15" t="str">
        <f>"DP-02/3-9615/14"</f>
        <v>DP-02/3-9615/14</v>
      </c>
      <c r="D161" s="15" t="str">
        <f t="shared" si="6"/>
        <v>HRVATSKA POŠTA D.D.</v>
      </c>
      <c r="E161" s="16">
        <v>41732</v>
      </c>
      <c r="F161" s="16">
        <v>42403</v>
      </c>
      <c r="G161" s="13">
        <v>715937.32</v>
      </c>
      <c r="H161" s="16">
        <v>42403</v>
      </c>
      <c r="I161" s="13">
        <v>107112.56</v>
      </c>
      <c r="J161" s="13">
        <f t="shared" si="5"/>
        <v>133890.70000000001</v>
      </c>
      <c r="K161" s="6"/>
    </row>
    <row r="162" spans="1:11" ht="24" x14ac:dyDescent="0.25">
      <c r="A162" s="3">
        <v>155</v>
      </c>
      <c r="B162" s="14" t="s">
        <v>338</v>
      </c>
      <c r="C162" s="15" t="str">
        <f>"DP-02/3-13006/14"</f>
        <v>DP-02/3-13006/14</v>
      </c>
      <c r="D162" s="15" t="str">
        <f t="shared" si="6"/>
        <v>HRVATSKA POŠTA D.D.</v>
      </c>
      <c r="E162" s="16">
        <v>41759</v>
      </c>
      <c r="F162" s="16">
        <v>42403</v>
      </c>
      <c r="G162" s="13">
        <v>372707.16</v>
      </c>
      <c r="H162" s="16">
        <v>42403</v>
      </c>
      <c r="I162" s="13">
        <v>56557.21</v>
      </c>
      <c r="J162" s="13">
        <f t="shared" si="5"/>
        <v>70696.512499999997</v>
      </c>
      <c r="K162" s="6"/>
    </row>
    <row r="163" spans="1:11" x14ac:dyDescent="0.25">
      <c r="A163" s="3">
        <v>156</v>
      </c>
      <c r="B163" s="14" t="s">
        <v>199</v>
      </c>
      <c r="C163" s="15" t="str">
        <f>"DP-02/6-9043/14"</f>
        <v>DP-02/6-9043/14</v>
      </c>
      <c r="D163" s="15" t="str">
        <f t="shared" si="6"/>
        <v>HRVATSKA POŠTA D.D.</v>
      </c>
      <c r="E163" s="16">
        <v>41673</v>
      </c>
      <c r="F163" s="16">
        <v>42403</v>
      </c>
      <c r="G163" s="13">
        <v>2873131.73</v>
      </c>
      <c r="H163" s="16">
        <v>42403</v>
      </c>
      <c r="I163" s="13">
        <v>3175366.55</v>
      </c>
      <c r="J163" s="13">
        <f t="shared" si="5"/>
        <v>3969208.1875</v>
      </c>
      <c r="K163" s="6"/>
    </row>
    <row r="164" spans="1:11" ht="24" x14ac:dyDescent="0.25">
      <c r="A164" s="3">
        <v>157</v>
      </c>
      <c r="B164" s="14" t="s">
        <v>634</v>
      </c>
      <c r="C164" s="15" t="str">
        <f>"DP-02/05-8993/14"</f>
        <v>DP-02/05-8993/14</v>
      </c>
      <c r="D164" s="15" t="str">
        <f t="shared" si="6"/>
        <v>HRVATSKA POŠTA D.D.</v>
      </c>
      <c r="E164" s="16">
        <v>41729</v>
      </c>
      <c r="F164" s="16">
        <v>42185</v>
      </c>
      <c r="G164" s="13">
        <v>85920.22</v>
      </c>
      <c r="H164" s="16">
        <v>42185</v>
      </c>
      <c r="I164" s="13">
        <v>21932.15</v>
      </c>
      <c r="J164" s="13">
        <f t="shared" si="5"/>
        <v>27415.1875</v>
      </c>
      <c r="K164" s="6"/>
    </row>
    <row r="165" spans="1:11" ht="24" x14ac:dyDescent="0.25">
      <c r="A165" s="3">
        <v>158</v>
      </c>
      <c r="B165" s="14" t="s">
        <v>635</v>
      </c>
      <c r="C165" s="15" t="str">
        <f>"DP-02/5-9013/14."</f>
        <v>DP-02/5-9013/14.</v>
      </c>
      <c r="D165" s="15" t="str">
        <f t="shared" si="6"/>
        <v>HRVATSKA POŠTA D.D.</v>
      </c>
      <c r="E165" s="16">
        <v>41729</v>
      </c>
      <c r="F165" s="16">
        <v>42185</v>
      </c>
      <c r="G165" s="13">
        <v>185911.38</v>
      </c>
      <c r="H165" s="16">
        <v>42185</v>
      </c>
      <c r="I165" s="13">
        <v>33865.24</v>
      </c>
      <c r="J165" s="13">
        <f t="shared" si="5"/>
        <v>42331.549999999996</v>
      </c>
      <c r="K165" s="6"/>
    </row>
    <row r="166" spans="1:11" x14ac:dyDescent="0.25">
      <c r="A166" s="3">
        <v>159</v>
      </c>
      <c r="B166" s="14" t="s">
        <v>68</v>
      </c>
      <c r="C166" s="15" t="str">
        <f>"UG-17/2013"</f>
        <v>UG-17/2013</v>
      </c>
      <c r="D166" s="15" t="str">
        <f t="shared" si="6"/>
        <v>HRVATSKA POŠTA D.D.</v>
      </c>
      <c r="E166" s="16">
        <v>41751</v>
      </c>
      <c r="F166" s="16">
        <v>42461</v>
      </c>
      <c r="G166" s="13">
        <v>4803.75</v>
      </c>
      <c r="H166" s="16">
        <v>42461</v>
      </c>
      <c r="I166" s="13">
        <v>1846.63</v>
      </c>
      <c r="J166" s="13">
        <f t="shared" si="5"/>
        <v>2308.2875000000004</v>
      </c>
      <c r="K166" s="6"/>
    </row>
    <row r="167" spans="1:11" x14ac:dyDescent="0.25">
      <c r="A167" s="3">
        <v>160</v>
      </c>
      <c r="B167" s="14" t="s">
        <v>338</v>
      </c>
      <c r="C167" s="15" t="str">
        <f>"DP-2/3-8419/14"</f>
        <v>DP-2/3-8419/14</v>
      </c>
      <c r="D167" s="15" t="str">
        <f t="shared" si="6"/>
        <v>HRVATSKA POŠTA D.D.</v>
      </c>
      <c r="E167" s="16">
        <v>41725</v>
      </c>
      <c r="F167" s="16">
        <v>42403</v>
      </c>
      <c r="G167" s="13">
        <v>416107.76</v>
      </c>
      <c r="H167" s="16">
        <v>42403</v>
      </c>
      <c r="I167" s="13">
        <v>71819.09</v>
      </c>
      <c r="J167" s="13">
        <f t="shared" si="5"/>
        <v>89773.862499999988</v>
      </c>
      <c r="K167" s="6"/>
    </row>
    <row r="168" spans="1:11" x14ac:dyDescent="0.25">
      <c r="A168" s="3">
        <v>161</v>
      </c>
      <c r="B168" s="14" t="s">
        <v>338</v>
      </c>
      <c r="C168" s="15" t="str">
        <f>"DP-02/3-8550/14"</f>
        <v>DP-02/3-8550/14</v>
      </c>
      <c r="D168" s="15" t="str">
        <f t="shared" si="6"/>
        <v>HRVATSKA POŠTA D.D.</v>
      </c>
      <c r="E168" s="16">
        <v>41718</v>
      </c>
      <c r="F168" s="16">
        <v>42403</v>
      </c>
      <c r="G168" s="13">
        <v>647964.28</v>
      </c>
      <c r="H168" s="16">
        <v>42403</v>
      </c>
      <c r="I168" s="13">
        <v>101801.06</v>
      </c>
      <c r="J168" s="13">
        <f t="shared" si="5"/>
        <v>127251.325</v>
      </c>
      <c r="K168" s="6"/>
    </row>
    <row r="169" spans="1:11" x14ac:dyDescent="0.25">
      <c r="A169" s="3">
        <v>162</v>
      </c>
      <c r="B169" s="14" t="s">
        <v>338</v>
      </c>
      <c r="C169" s="15" t="str">
        <f>"DP-2/3-8573/14"</f>
        <v>DP-2/3-8573/14</v>
      </c>
      <c r="D169" s="15" t="str">
        <f t="shared" si="6"/>
        <v>HRVATSKA POŠTA D.D.</v>
      </c>
      <c r="E169" s="16">
        <v>41725</v>
      </c>
      <c r="F169" s="16">
        <v>42403</v>
      </c>
      <c r="G169" s="13">
        <v>453136.46</v>
      </c>
      <c r="H169" s="16">
        <v>42403</v>
      </c>
      <c r="I169" s="13">
        <v>69727.03</v>
      </c>
      <c r="J169" s="13">
        <f t="shared" si="5"/>
        <v>87158.787500000006</v>
      </c>
      <c r="K169" s="6"/>
    </row>
    <row r="170" spans="1:11" x14ac:dyDescent="0.25">
      <c r="A170" s="3">
        <v>163</v>
      </c>
      <c r="B170" s="14" t="s">
        <v>338</v>
      </c>
      <c r="C170" s="15" t="str">
        <f>"DP-02/3-8545/14"</f>
        <v>DP-02/3-8545/14</v>
      </c>
      <c r="D170" s="15" t="str">
        <f t="shared" si="6"/>
        <v>HRVATSKA POŠTA D.D.</v>
      </c>
      <c r="E170" s="16">
        <v>41717</v>
      </c>
      <c r="F170" s="16">
        <v>42403</v>
      </c>
      <c r="G170" s="13">
        <v>471359.5</v>
      </c>
      <c r="H170" s="16">
        <v>42403</v>
      </c>
      <c r="I170" s="13">
        <v>59734.03</v>
      </c>
      <c r="J170" s="13">
        <f t="shared" si="5"/>
        <v>74667.537500000006</v>
      </c>
      <c r="K170" s="6"/>
    </row>
    <row r="171" spans="1:11" x14ac:dyDescent="0.25">
      <c r="A171" s="3">
        <v>164</v>
      </c>
      <c r="B171" s="14" t="s">
        <v>321</v>
      </c>
      <c r="C171" s="15" t="str">
        <f>"DP-02/1-9337/14"</f>
        <v>DP-02/1-9337/14</v>
      </c>
      <c r="D171" s="15" t="str">
        <f t="shared" si="6"/>
        <v>HRVATSKA POŠTA D.D.</v>
      </c>
      <c r="E171" s="16">
        <v>41730</v>
      </c>
      <c r="F171" s="16">
        <v>42403</v>
      </c>
      <c r="G171" s="13">
        <v>3539194</v>
      </c>
      <c r="H171" s="16">
        <v>42403</v>
      </c>
      <c r="I171" s="13">
        <v>3352914.14</v>
      </c>
      <c r="J171" s="13">
        <f t="shared" si="5"/>
        <v>4191142.6750000003</v>
      </c>
      <c r="K171" s="6"/>
    </row>
    <row r="172" spans="1:11" x14ac:dyDescent="0.25">
      <c r="A172" s="3">
        <v>165</v>
      </c>
      <c r="B172" s="14" t="s">
        <v>182</v>
      </c>
      <c r="C172" s="15" t="str">
        <f>"DP-02/6-9590/14"</f>
        <v>DP-02/6-9590/14</v>
      </c>
      <c r="D172" s="15" t="str">
        <f t="shared" si="6"/>
        <v>HRVATSKA POŠTA D.D.</v>
      </c>
      <c r="E172" s="16">
        <v>41759</v>
      </c>
      <c r="F172" s="16">
        <v>42460</v>
      </c>
      <c r="G172" s="13">
        <v>500024.86</v>
      </c>
      <c r="H172" s="16">
        <v>42460</v>
      </c>
      <c r="I172" s="13">
        <v>42244.639999999999</v>
      </c>
      <c r="J172" s="13">
        <f t="shared" si="5"/>
        <v>52805.8</v>
      </c>
      <c r="K172" s="6"/>
    </row>
    <row r="173" spans="1:11" x14ac:dyDescent="0.25">
      <c r="A173" s="3">
        <v>166</v>
      </c>
      <c r="B173" s="14" t="s">
        <v>182</v>
      </c>
      <c r="C173" s="15" t="str">
        <f>"DP-02/6-8956/14"</f>
        <v>DP-02/6-8956/14</v>
      </c>
      <c r="D173" s="15" t="str">
        <f t="shared" si="6"/>
        <v>HRVATSKA POŠTA D.D.</v>
      </c>
      <c r="E173" s="16">
        <v>41738</v>
      </c>
      <c r="F173" s="16">
        <v>42460</v>
      </c>
      <c r="G173" s="13">
        <v>615731.26</v>
      </c>
      <c r="H173" s="16">
        <v>42460</v>
      </c>
      <c r="I173" s="13">
        <v>85747.5</v>
      </c>
      <c r="J173" s="13">
        <f t="shared" si="5"/>
        <v>107184.375</v>
      </c>
      <c r="K173" s="6"/>
    </row>
    <row r="174" spans="1:11" x14ac:dyDescent="0.25">
      <c r="A174" s="3">
        <v>167</v>
      </c>
      <c r="B174" s="14" t="s">
        <v>182</v>
      </c>
      <c r="C174" s="15" t="str">
        <f>"DP-02/6-8957/14"</f>
        <v>DP-02/6-8957/14</v>
      </c>
      <c r="D174" s="15" t="str">
        <f t="shared" si="6"/>
        <v>HRVATSKA POŠTA D.D.</v>
      </c>
      <c r="E174" s="16">
        <v>41732</v>
      </c>
      <c r="F174" s="16">
        <v>42460</v>
      </c>
      <c r="G174" s="13">
        <v>633123.80000000005</v>
      </c>
      <c r="H174" s="16">
        <v>42460</v>
      </c>
      <c r="I174" s="13">
        <v>67874.179999999993</v>
      </c>
      <c r="J174" s="13">
        <f t="shared" si="5"/>
        <v>84842.724999999991</v>
      </c>
      <c r="K174" s="6"/>
    </row>
    <row r="175" spans="1:11" x14ac:dyDescent="0.25">
      <c r="A175" s="3">
        <v>168</v>
      </c>
      <c r="B175" s="14" t="s">
        <v>182</v>
      </c>
      <c r="C175" s="15" t="str">
        <f>"DP-02/6-9411/14"</f>
        <v>DP-02/6-9411/14</v>
      </c>
      <c r="D175" s="15" t="str">
        <f t="shared" si="6"/>
        <v>HRVATSKA POŠTA D.D.</v>
      </c>
      <c r="E175" s="16">
        <v>41745</v>
      </c>
      <c r="F175" s="16">
        <v>42460</v>
      </c>
      <c r="G175" s="13">
        <v>657212.19999999995</v>
      </c>
      <c r="H175" s="16">
        <v>42460</v>
      </c>
      <c r="I175" s="13">
        <v>55894.54</v>
      </c>
      <c r="J175" s="13">
        <f t="shared" si="5"/>
        <v>69868.175000000003</v>
      </c>
      <c r="K175" s="6"/>
    </row>
    <row r="176" spans="1:11" x14ac:dyDescent="0.25">
      <c r="A176" s="3">
        <v>169</v>
      </c>
      <c r="B176" s="14" t="s">
        <v>182</v>
      </c>
      <c r="C176" s="15" t="str">
        <f>"DP-02/6-9179/14"</f>
        <v>DP-02/6-9179/14</v>
      </c>
      <c r="D176" s="15" t="str">
        <f t="shared" si="6"/>
        <v>HRVATSKA POŠTA D.D.</v>
      </c>
      <c r="E176" s="16">
        <v>41724</v>
      </c>
      <c r="F176" s="16">
        <v>42460</v>
      </c>
      <c r="G176" s="13">
        <v>517168.1</v>
      </c>
      <c r="H176" s="16">
        <v>42460</v>
      </c>
      <c r="I176" s="13">
        <v>49307.58</v>
      </c>
      <c r="J176" s="13">
        <f t="shared" si="5"/>
        <v>61634.475000000006</v>
      </c>
      <c r="K176" s="6"/>
    </row>
    <row r="177" spans="1:11" x14ac:dyDescent="0.25">
      <c r="A177" s="3">
        <v>170</v>
      </c>
      <c r="B177" s="14" t="s">
        <v>260</v>
      </c>
      <c r="C177" s="15" t="str">
        <f>"DP-2/2-11313/14"</f>
        <v>DP-2/2-11313/14</v>
      </c>
      <c r="D177" s="15" t="str">
        <f t="shared" si="6"/>
        <v>HRVATSKA POŠTA D.D.</v>
      </c>
      <c r="E177" s="16">
        <v>41730</v>
      </c>
      <c r="F177" s="16">
        <v>42461</v>
      </c>
      <c r="G177" s="13">
        <v>18067.84</v>
      </c>
      <c r="H177" s="16">
        <v>42461</v>
      </c>
      <c r="I177" s="13">
        <v>5105.26</v>
      </c>
      <c r="J177" s="13">
        <f t="shared" si="5"/>
        <v>6381.5750000000007</v>
      </c>
      <c r="K177" s="6"/>
    </row>
    <row r="178" spans="1:11" x14ac:dyDescent="0.25">
      <c r="A178" s="3">
        <v>171</v>
      </c>
      <c r="B178" s="14" t="s">
        <v>199</v>
      </c>
      <c r="C178" s="15" t="str">
        <f>"DP-02/6-8450/14"</f>
        <v>DP-02/6-8450/14</v>
      </c>
      <c r="D178" s="15" t="str">
        <f t="shared" si="6"/>
        <v>HRVATSKA POŠTA D.D.</v>
      </c>
      <c r="E178" s="16">
        <v>41729</v>
      </c>
      <c r="F178" s="16">
        <v>42460</v>
      </c>
      <c r="G178" s="13">
        <v>482137.38</v>
      </c>
      <c r="H178" s="16">
        <v>42460</v>
      </c>
      <c r="I178" s="13">
        <v>58127.54</v>
      </c>
      <c r="J178" s="13">
        <f t="shared" si="5"/>
        <v>72659.425000000003</v>
      </c>
      <c r="K178" s="6"/>
    </row>
    <row r="179" spans="1:11" x14ac:dyDescent="0.25">
      <c r="A179" s="3">
        <v>172</v>
      </c>
      <c r="B179" s="14" t="s">
        <v>199</v>
      </c>
      <c r="C179" s="15" t="str">
        <f>"DP-02/6-9072/14"</f>
        <v>DP-02/6-9072/14</v>
      </c>
      <c r="D179" s="15" t="str">
        <f t="shared" si="6"/>
        <v>HRVATSKA POŠTA D.D.</v>
      </c>
      <c r="E179" s="16">
        <v>41730</v>
      </c>
      <c r="F179" s="16">
        <v>42460</v>
      </c>
      <c r="G179" s="13">
        <v>1164383.4099999999</v>
      </c>
      <c r="H179" s="16">
        <v>42460</v>
      </c>
      <c r="I179" s="13">
        <v>97262.82</v>
      </c>
      <c r="J179" s="13">
        <f t="shared" si="5"/>
        <v>121578.52500000001</v>
      </c>
      <c r="K179" s="6"/>
    </row>
    <row r="180" spans="1:11" x14ac:dyDescent="0.25">
      <c r="A180" s="3">
        <v>173</v>
      </c>
      <c r="B180" s="14" t="s">
        <v>199</v>
      </c>
      <c r="C180" s="15" t="str">
        <f>"DP-02/6-9054/14"</f>
        <v>DP-02/6-9054/14</v>
      </c>
      <c r="D180" s="15" t="str">
        <f t="shared" si="6"/>
        <v>HRVATSKA POŠTA D.D.</v>
      </c>
      <c r="E180" s="16">
        <v>41729</v>
      </c>
      <c r="F180" s="16">
        <v>42460</v>
      </c>
      <c r="G180" s="13">
        <v>1418405.5</v>
      </c>
      <c r="H180" s="16">
        <v>42460</v>
      </c>
      <c r="I180" s="13">
        <v>90979.29</v>
      </c>
      <c r="J180" s="13">
        <f t="shared" si="5"/>
        <v>113724.11249999999</v>
      </c>
      <c r="K180" s="6"/>
    </row>
    <row r="181" spans="1:11" x14ac:dyDescent="0.25">
      <c r="A181" s="3">
        <v>174</v>
      </c>
      <c r="B181" s="14" t="s">
        <v>199</v>
      </c>
      <c r="C181" s="15" t="str">
        <f>"DP-02/6-9068/14"</f>
        <v>DP-02/6-9068/14</v>
      </c>
      <c r="D181" s="15" t="str">
        <f t="shared" si="6"/>
        <v>HRVATSKA POŠTA D.D.</v>
      </c>
      <c r="E181" s="16">
        <v>41730</v>
      </c>
      <c r="F181" s="16">
        <v>42460</v>
      </c>
      <c r="G181" s="13">
        <v>1161308.48</v>
      </c>
      <c r="H181" s="16">
        <v>42460</v>
      </c>
      <c r="I181" s="13">
        <v>179250.36</v>
      </c>
      <c r="J181" s="13">
        <f t="shared" si="5"/>
        <v>224062.94999999998</v>
      </c>
      <c r="K181" s="6"/>
    </row>
    <row r="182" spans="1:11" x14ac:dyDescent="0.25">
      <c r="A182" s="3">
        <v>175</v>
      </c>
      <c r="B182" s="14" t="s">
        <v>199</v>
      </c>
      <c r="C182" s="15" t="str">
        <f>"DP-02/6-8908/14"</f>
        <v>DP-02/6-8908/14</v>
      </c>
      <c r="D182" s="15" t="str">
        <f t="shared" si="6"/>
        <v>HRVATSKA POŠTA D.D.</v>
      </c>
      <c r="E182" s="16">
        <v>41729</v>
      </c>
      <c r="F182" s="16">
        <v>42460</v>
      </c>
      <c r="G182" s="13">
        <v>361629.66</v>
      </c>
      <c r="H182" s="16">
        <v>42460</v>
      </c>
      <c r="I182" s="13">
        <v>39214.879999999997</v>
      </c>
      <c r="J182" s="13">
        <f t="shared" si="5"/>
        <v>49018.6</v>
      </c>
      <c r="K182" s="6"/>
    </row>
    <row r="183" spans="1:11" ht="24" x14ac:dyDescent="0.25">
      <c r="A183" s="3">
        <v>176</v>
      </c>
      <c r="B183" s="14" t="s">
        <v>636</v>
      </c>
      <c r="C183" s="15" t="str">
        <f>"DP-02-21489/2013"</f>
        <v>DP-02-21489/2013</v>
      </c>
      <c r="D183" s="15" t="str">
        <f t="shared" si="6"/>
        <v>HRVATSKA POŠTA D.D.</v>
      </c>
      <c r="E183" s="16">
        <v>41730</v>
      </c>
      <c r="F183" s="16"/>
      <c r="G183" s="13">
        <v>247902.4</v>
      </c>
      <c r="H183" s="16"/>
      <c r="I183" s="13">
        <v>30237.89</v>
      </c>
      <c r="J183" s="13">
        <f t="shared" si="5"/>
        <v>37797.362500000003</v>
      </c>
      <c r="K183" s="6"/>
    </row>
    <row r="184" spans="1:11" ht="24" x14ac:dyDescent="0.25">
      <c r="A184" s="3">
        <v>177</v>
      </c>
      <c r="B184" s="14" t="s">
        <v>633</v>
      </c>
      <c r="C184" s="15" t="str">
        <f>"DP-02/4-009391/14"</f>
        <v>DP-02/4-009391/14</v>
      </c>
      <c r="D184" s="15" t="str">
        <f t="shared" si="6"/>
        <v>HRVATSKA POŠTA D.D.</v>
      </c>
      <c r="E184" s="16">
        <v>42459</v>
      </c>
      <c r="F184" s="16">
        <v>42095</v>
      </c>
      <c r="G184" s="13">
        <v>50831.28</v>
      </c>
      <c r="H184" s="16">
        <v>42095</v>
      </c>
      <c r="I184" s="13">
        <v>2271.9499999999998</v>
      </c>
      <c r="J184" s="13">
        <f t="shared" si="5"/>
        <v>2839.9375</v>
      </c>
      <c r="K184" s="6"/>
    </row>
    <row r="185" spans="1:11" ht="24" x14ac:dyDescent="0.25">
      <c r="A185" s="3">
        <v>178</v>
      </c>
      <c r="B185" s="14" t="s">
        <v>359</v>
      </c>
      <c r="C185" s="15" t="str">
        <f>"DP-2/1-009408/14"</f>
        <v>DP-2/1-009408/14</v>
      </c>
      <c r="D185" s="15" t="str">
        <f t="shared" si="6"/>
        <v>HRVATSKA POŠTA D.D.</v>
      </c>
      <c r="E185" s="16">
        <v>42472</v>
      </c>
      <c r="F185" s="16">
        <v>42402</v>
      </c>
      <c r="G185" s="13">
        <v>933331</v>
      </c>
      <c r="H185" s="16">
        <v>42402</v>
      </c>
      <c r="I185" s="13">
        <v>115082</v>
      </c>
      <c r="J185" s="13">
        <f t="shared" si="5"/>
        <v>143852.5</v>
      </c>
      <c r="K185" s="6"/>
    </row>
    <row r="186" spans="1:11" ht="24" x14ac:dyDescent="0.25">
      <c r="A186" s="3">
        <v>179</v>
      </c>
      <c r="B186" s="14" t="s">
        <v>637</v>
      </c>
      <c r="C186" s="15" t="str">
        <f>"DP-02/1-009409/14"</f>
        <v>DP-02/1-009409/14</v>
      </c>
      <c r="D186" s="15" t="str">
        <f t="shared" si="6"/>
        <v>HRVATSKA POŠTA D.D.</v>
      </c>
      <c r="E186" s="16">
        <v>42473</v>
      </c>
      <c r="F186" s="16">
        <v>42402</v>
      </c>
      <c r="G186" s="13">
        <v>305196</v>
      </c>
      <c r="H186" s="16">
        <v>42402</v>
      </c>
      <c r="I186" s="13">
        <v>44613</v>
      </c>
      <c r="J186" s="13">
        <f t="shared" si="5"/>
        <v>55766.25</v>
      </c>
      <c r="K186" s="6"/>
    </row>
    <row r="187" spans="1:11" ht="24" x14ac:dyDescent="0.25">
      <c r="A187" s="3">
        <v>180</v>
      </c>
      <c r="B187" s="14" t="s">
        <v>410</v>
      </c>
      <c r="C187" s="15" t="str">
        <f>"DP-02/1-008912/14"</f>
        <v>DP-02/1-008912/14</v>
      </c>
      <c r="D187" s="15" t="str">
        <f t="shared" si="6"/>
        <v>HRVATSKA POŠTA D.D.</v>
      </c>
      <c r="E187" s="16">
        <v>42473</v>
      </c>
      <c r="F187" s="16">
        <v>42402</v>
      </c>
      <c r="G187" s="13">
        <v>133086</v>
      </c>
      <c r="H187" s="16">
        <v>42402</v>
      </c>
      <c r="I187" s="13">
        <v>48489</v>
      </c>
      <c r="J187" s="13">
        <f t="shared" si="5"/>
        <v>60611.25</v>
      </c>
      <c r="K187" s="6"/>
    </row>
    <row r="188" spans="1:11" ht="24" x14ac:dyDescent="0.25">
      <c r="A188" s="3">
        <v>181</v>
      </c>
      <c r="B188" s="14" t="s">
        <v>253</v>
      </c>
      <c r="C188" s="15" t="str">
        <f>"DP-22-21489/13"</f>
        <v>DP-22-21489/13</v>
      </c>
      <c r="D188" s="15" t="str">
        <f t="shared" si="6"/>
        <v>HRVATSKA POŠTA D.D.</v>
      </c>
      <c r="E188" s="16">
        <v>41673</v>
      </c>
      <c r="F188" s="16">
        <v>42403</v>
      </c>
      <c r="G188" s="13">
        <v>279761</v>
      </c>
      <c r="H188" s="16">
        <v>42403</v>
      </c>
      <c r="I188" s="13">
        <v>34034.32</v>
      </c>
      <c r="J188" s="13">
        <f t="shared" si="5"/>
        <v>42542.9</v>
      </c>
      <c r="K188" s="6"/>
    </row>
    <row r="189" spans="1:11" ht="24" x14ac:dyDescent="0.25">
      <c r="A189" s="3">
        <v>182</v>
      </c>
      <c r="B189" s="14" t="s">
        <v>395</v>
      </c>
      <c r="C189" s="15" t="str">
        <f>"DP-02/1-008396/14"</f>
        <v>DP-02/1-008396/14</v>
      </c>
      <c r="D189" s="15" t="str">
        <f t="shared" si="6"/>
        <v>HRVATSKA POŠTA D.D.</v>
      </c>
      <c r="E189" s="16">
        <v>41718</v>
      </c>
      <c r="F189" s="16">
        <v>42461</v>
      </c>
      <c r="G189" s="13">
        <v>162340.5</v>
      </c>
      <c r="H189" s="16">
        <v>42461</v>
      </c>
      <c r="I189" s="13">
        <v>61409.17</v>
      </c>
      <c r="J189" s="13">
        <f t="shared" si="5"/>
        <v>76761.462499999994</v>
      </c>
      <c r="K189" s="6"/>
    </row>
    <row r="190" spans="1:11" ht="24" x14ac:dyDescent="0.25">
      <c r="A190" s="3">
        <v>183</v>
      </c>
      <c r="B190" s="14" t="s">
        <v>253</v>
      </c>
      <c r="C190" s="15" t="str">
        <f>"DP-02/1-010447/14"</f>
        <v>DP-02/1-010447/14</v>
      </c>
      <c r="D190" s="15" t="str">
        <f t="shared" si="6"/>
        <v>HRVATSKA POŠTA D.D.</v>
      </c>
      <c r="E190" s="16">
        <v>41730</v>
      </c>
      <c r="F190" s="16">
        <v>42403</v>
      </c>
      <c r="G190" s="13">
        <v>279761</v>
      </c>
      <c r="H190" s="16">
        <v>42403</v>
      </c>
      <c r="I190" s="13">
        <v>100632.3</v>
      </c>
      <c r="J190" s="13">
        <f t="shared" si="5"/>
        <v>125790.375</v>
      </c>
      <c r="K190" s="6"/>
    </row>
    <row r="191" spans="1:11" ht="24" x14ac:dyDescent="0.25">
      <c r="A191" s="3">
        <v>184</v>
      </c>
      <c r="B191" s="14" t="s">
        <v>271</v>
      </c>
      <c r="C191" s="15" t="str">
        <f>"DP-02/2-08664/14"</f>
        <v>DP-02/2-08664/14</v>
      </c>
      <c r="D191" s="15" t="str">
        <f t="shared" si="6"/>
        <v>HRVATSKA POŠTA D.D.</v>
      </c>
      <c r="E191" s="16">
        <v>41730</v>
      </c>
      <c r="F191" s="16">
        <v>42461</v>
      </c>
      <c r="G191" s="13">
        <v>136922.35999999999</v>
      </c>
      <c r="H191" s="16">
        <v>42461</v>
      </c>
      <c r="I191" s="13">
        <v>50233.39</v>
      </c>
      <c r="J191" s="13">
        <f t="shared" si="5"/>
        <v>62791.737500000003</v>
      </c>
      <c r="K191" s="6"/>
    </row>
    <row r="192" spans="1:11" ht="24" x14ac:dyDescent="0.25">
      <c r="A192" s="3">
        <v>185</v>
      </c>
      <c r="B192" s="14" t="s">
        <v>259</v>
      </c>
      <c r="C192" s="15" t="str">
        <f>"DP-02/2-10508/14"</f>
        <v>DP-02/2-10508/14</v>
      </c>
      <c r="D192" s="15" t="str">
        <f t="shared" si="6"/>
        <v>HRVATSKA POŠTA D.D.</v>
      </c>
      <c r="E192" s="16">
        <v>41757</v>
      </c>
      <c r="F192" s="16">
        <v>42095</v>
      </c>
      <c r="G192" s="13">
        <v>252057.7</v>
      </c>
      <c r="H192" s="16">
        <v>42095</v>
      </c>
      <c r="I192" s="13">
        <v>74581.259999999995</v>
      </c>
      <c r="J192" s="13">
        <f t="shared" si="5"/>
        <v>93226.574999999997</v>
      </c>
      <c r="K192" s="6"/>
    </row>
    <row r="193" spans="1:11" ht="24" x14ac:dyDescent="0.25">
      <c r="A193" s="3">
        <v>186</v>
      </c>
      <c r="B193" s="14" t="s">
        <v>153</v>
      </c>
      <c r="C193" s="15" t="str">
        <f>"DP-02/2-10509/14"</f>
        <v>DP-02/2-10509/14</v>
      </c>
      <c r="D193" s="15" t="str">
        <f t="shared" si="6"/>
        <v>HRVATSKA POŠTA D.D.</v>
      </c>
      <c r="E193" s="16">
        <v>41759</v>
      </c>
      <c r="F193" s="16">
        <v>42403</v>
      </c>
      <c r="G193" s="13">
        <v>328655.03999999998</v>
      </c>
      <c r="H193" s="16">
        <v>42403</v>
      </c>
      <c r="I193" s="13">
        <v>80352.7</v>
      </c>
      <c r="J193" s="13">
        <f t="shared" si="5"/>
        <v>100440.875</v>
      </c>
      <c r="K193" s="6"/>
    </row>
    <row r="194" spans="1:11" ht="24" x14ac:dyDescent="0.25">
      <c r="A194" s="3">
        <v>187</v>
      </c>
      <c r="B194" s="14" t="s">
        <v>343</v>
      </c>
      <c r="C194" s="15" t="str">
        <f>"DP-02/2-10542/14"</f>
        <v>DP-02/2-10542/14</v>
      </c>
      <c r="D194" s="15" t="str">
        <f t="shared" si="6"/>
        <v>HRVATSKA POŠTA D.D.</v>
      </c>
      <c r="E194" s="16">
        <v>41730</v>
      </c>
      <c r="F194" s="16">
        <v>42461</v>
      </c>
      <c r="G194" s="13">
        <v>120500.03</v>
      </c>
      <c r="H194" s="16">
        <v>42461</v>
      </c>
      <c r="I194" s="13">
        <v>73575.710000000006</v>
      </c>
      <c r="J194" s="13">
        <f t="shared" si="5"/>
        <v>91969.637500000012</v>
      </c>
      <c r="K194" s="6"/>
    </row>
    <row r="195" spans="1:11" x14ac:dyDescent="0.25">
      <c r="A195" s="3">
        <v>188</v>
      </c>
      <c r="B195" s="14" t="s">
        <v>407</v>
      </c>
      <c r="C195" s="15" t="str">
        <f>"DP-02/2-8395/14"</f>
        <v>DP-02/2-8395/14</v>
      </c>
      <c r="D195" s="15" t="str">
        <f t="shared" si="6"/>
        <v>HRVATSKA POŠTA D.D.</v>
      </c>
      <c r="E195" s="16">
        <v>41730</v>
      </c>
      <c r="F195" s="16">
        <v>42403</v>
      </c>
      <c r="G195" s="13">
        <v>1242382.76</v>
      </c>
      <c r="H195" s="16">
        <v>42403</v>
      </c>
      <c r="I195" s="13">
        <v>665550</v>
      </c>
      <c r="J195" s="13">
        <f t="shared" si="5"/>
        <v>831937.5</v>
      </c>
      <c r="K195" s="6"/>
    </row>
    <row r="196" spans="1:11" x14ac:dyDescent="0.25">
      <c r="A196" s="3">
        <v>189</v>
      </c>
      <c r="B196" s="14" t="s">
        <v>338</v>
      </c>
      <c r="C196" s="15" t="str">
        <f>"DP-02/3-9532/14"</f>
        <v>DP-02/3-9532/14</v>
      </c>
      <c r="D196" s="15" t="str">
        <f t="shared" si="6"/>
        <v>HRVATSKA POŠTA D.D.</v>
      </c>
      <c r="E196" s="16">
        <v>41729</v>
      </c>
      <c r="F196" s="16">
        <v>42403</v>
      </c>
      <c r="G196" s="13">
        <v>5482120.5999999996</v>
      </c>
      <c r="H196" s="16">
        <v>42403</v>
      </c>
      <c r="I196" s="13">
        <v>3603403.81</v>
      </c>
      <c r="J196" s="13">
        <f t="shared" si="5"/>
        <v>4504254.7625000002</v>
      </c>
      <c r="K196" s="6"/>
    </row>
    <row r="197" spans="1:11" ht="24" x14ac:dyDescent="0.25">
      <c r="A197" s="3">
        <v>190</v>
      </c>
      <c r="B197" s="14" t="s">
        <v>409</v>
      </c>
      <c r="C197" s="15" t="str">
        <f>"DP-02/4-009143/14"</f>
        <v>DP-02/4-009143/14</v>
      </c>
      <c r="D197" s="15" t="str">
        <f t="shared" si="6"/>
        <v>HRVATSKA POŠTA D.D.</v>
      </c>
      <c r="E197" s="16">
        <v>41730</v>
      </c>
      <c r="F197" s="16">
        <v>42461</v>
      </c>
      <c r="G197" s="13">
        <v>210376.98</v>
      </c>
      <c r="H197" s="16">
        <v>42461</v>
      </c>
      <c r="I197" s="13">
        <v>144470.5</v>
      </c>
      <c r="J197" s="13">
        <f t="shared" si="5"/>
        <v>180588.125</v>
      </c>
      <c r="K197" s="6"/>
    </row>
    <row r="198" spans="1:11" ht="24" x14ac:dyDescent="0.25">
      <c r="A198" s="3">
        <v>191</v>
      </c>
      <c r="B198" s="14" t="s">
        <v>186</v>
      </c>
      <c r="C198" s="15" t="str">
        <f>"DP-02/4-009144/14"</f>
        <v>DP-02/4-009144/14</v>
      </c>
      <c r="D198" s="15" t="str">
        <f t="shared" si="6"/>
        <v>HRVATSKA POŠTA D.D.</v>
      </c>
      <c r="E198" s="16">
        <v>41730</v>
      </c>
      <c r="F198" s="16">
        <v>42461</v>
      </c>
      <c r="G198" s="13">
        <v>88894.04</v>
      </c>
      <c r="H198" s="16">
        <v>42461</v>
      </c>
      <c r="I198" s="13">
        <v>34361.379999999997</v>
      </c>
      <c r="J198" s="13">
        <f t="shared" si="5"/>
        <v>42951.724999999999</v>
      </c>
      <c r="K198" s="6"/>
    </row>
    <row r="199" spans="1:11" x14ac:dyDescent="0.25">
      <c r="A199" s="3">
        <v>192</v>
      </c>
      <c r="B199" s="14" t="s">
        <v>421</v>
      </c>
      <c r="C199" s="15" t="str">
        <f>"DP-02/4-9302/14"</f>
        <v>DP-02/4-9302/14</v>
      </c>
      <c r="D199" s="15" t="str">
        <f t="shared" si="6"/>
        <v>HRVATSKA POŠTA D.D.</v>
      </c>
      <c r="E199" s="16">
        <v>41729</v>
      </c>
      <c r="F199" s="16">
        <v>42403</v>
      </c>
      <c r="G199" s="13">
        <v>113715.55</v>
      </c>
      <c r="H199" s="16">
        <v>42403</v>
      </c>
      <c r="I199" s="13">
        <v>20262.8</v>
      </c>
      <c r="J199" s="13">
        <f t="shared" si="5"/>
        <v>25328.5</v>
      </c>
      <c r="K199" s="6"/>
    </row>
    <row r="200" spans="1:11" ht="24" x14ac:dyDescent="0.25">
      <c r="A200" s="3">
        <v>193</v>
      </c>
      <c r="B200" s="14" t="s">
        <v>417</v>
      </c>
      <c r="C200" s="15" t="str">
        <f>"DP-02/5-11660/14"</f>
        <v>DP-02/5-11660/14</v>
      </c>
      <c r="D200" s="15" t="str">
        <f t="shared" si="6"/>
        <v>HRVATSKA POŠTA D.D.</v>
      </c>
      <c r="E200" s="16">
        <v>41730</v>
      </c>
      <c r="F200" s="16">
        <v>42461</v>
      </c>
      <c r="G200" s="13">
        <v>294343.2</v>
      </c>
      <c r="H200" s="16">
        <v>42461</v>
      </c>
      <c r="I200" s="13">
        <v>235474.56</v>
      </c>
      <c r="J200" s="13">
        <f t="shared" si="5"/>
        <v>294343.2</v>
      </c>
      <c r="K200" s="6"/>
    </row>
    <row r="201" spans="1:11" x14ac:dyDescent="0.25">
      <c r="A201" s="3">
        <v>194</v>
      </c>
      <c r="B201" s="14" t="s">
        <v>379</v>
      </c>
      <c r="C201" s="15" t="str">
        <f>"DP-02/5-8605/14"</f>
        <v>DP-02/5-8605/14</v>
      </c>
      <c r="D201" s="15" t="str">
        <f t="shared" si="6"/>
        <v>HRVATSKA POŠTA D.D.</v>
      </c>
      <c r="E201" s="16">
        <v>41730</v>
      </c>
      <c r="F201" s="16">
        <v>42461</v>
      </c>
      <c r="G201" s="13">
        <v>756936.4</v>
      </c>
      <c r="H201" s="16">
        <v>42461</v>
      </c>
      <c r="I201" s="13">
        <v>605616.43000000005</v>
      </c>
      <c r="J201" s="13">
        <f t="shared" ref="J201:J245" si="7">I201*1.25</f>
        <v>757020.53750000009</v>
      </c>
      <c r="K201" s="6"/>
    </row>
    <row r="202" spans="1:11" x14ac:dyDescent="0.25">
      <c r="A202" s="3">
        <v>195</v>
      </c>
      <c r="B202" s="14" t="s">
        <v>194</v>
      </c>
      <c r="C202" s="15" t="str">
        <f>"DP-02/5-9849/14"</f>
        <v>DP-02/5-9849/14</v>
      </c>
      <c r="D202" s="15" t="str">
        <f t="shared" si="6"/>
        <v>HRVATSKA POŠTA D.D.</v>
      </c>
      <c r="E202" s="16">
        <v>41730</v>
      </c>
      <c r="F202" s="16">
        <v>42461</v>
      </c>
      <c r="G202" s="13">
        <v>172021.86</v>
      </c>
      <c r="H202" s="16">
        <v>42461</v>
      </c>
      <c r="I202" s="13">
        <v>48866.02</v>
      </c>
      <c r="J202" s="13">
        <f t="shared" si="7"/>
        <v>61082.524999999994</v>
      </c>
      <c r="K202" s="6"/>
    </row>
    <row r="203" spans="1:11" x14ac:dyDescent="0.25">
      <c r="A203" s="3">
        <v>196</v>
      </c>
      <c r="B203" s="14" t="s">
        <v>638</v>
      </c>
      <c r="C203" s="15" t="str">
        <f>"DP-02/6-8451/14"</f>
        <v>DP-02/6-8451/14</v>
      </c>
      <c r="D203" s="15" t="str">
        <f t="shared" si="6"/>
        <v>HRVATSKA POŠTA D.D.</v>
      </c>
      <c r="E203" s="16">
        <v>41715</v>
      </c>
      <c r="F203" s="16">
        <v>42461</v>
      </c>
      <c r="G203" s="13">
        <v>104557.2</v>
      </c>
      <c r="H203" s="16">
        <v>42461</v>
      </c>
      <c r="I203" s="13">
        <v>18945.849999999999</v>
      </c>
      <c r="J203" s="13">
        <f t="shared" si="7"/>
        <v>23682.3125</v>
      </c>
      <c r="K203" s="6"/>
    </row>
    <row r="204" spans="1:11" x14ac:dyDescent="0.25">
      <c r="A204" s="3">
        <v>197</v>
      </c>
      <c r="B204" s="14" t="s">
        <v>639</v>
      </c>
      <c r="C204" s="15" t="str">
        <f>"DP-02/6-8779/14"</f>
        <v>DP-02/6-8779/14</v>
      </c>
      <c r="D204" s="15" t="str">
        <f t="shared" si="6"/>
        <v>HRVATSKA POŠTA D.D.</v>
      </c>
      <c r="E204" s="16">
        <v>41723</v>
      </c>
      <c r="F204" s="16">
        <v>42461</v>
      </c>
      <c r="G204" s="13">
        <v>219710.36</v>
      </c>
      <c r="H204" s="16">
        <v>42461</v>
      </c>
      <c r="I204" s="13">
        <v>35648.300000000003</v>
      </c>
      <c r="J204" s="13">
        <f t="shared" si="7"/>
        <v>44560.375</v>
      </c>
      <c r="K204" s="6"/>
    </row>
    <row r="205" spans="1:11" ht="24" x14ac:dyDescent="0.25">
      <c r="A205" s="3">
        <v>198</v>
      </c>
      <c r="B205" s="14" t="s">
        <v>416</v>
      </c>
      <c r="C205" s="15" t="str">
        <f>"DP-02/6-8913/14"</f>
        <v>DP-02/6-8913/14</v>
      </c>
      <c r="D205" s="15" t="str">
        <f t="shared" si="6"/>
        <v>HRVATSKA POŠTA D.D.</v>
      </c>
      <c r="E205" s="16">
        <v>41729</v>
      </c>
      <c r="F205" s="16">
        <v>42461</v>
      </c>
      <c r="G205" s="13">
        <v>52123.5</v>
      </c>
      <c r="H205" s="16">
        <v>42461</v>
      </c>
      <c r="I205" s="13">
        <v>7464.48</v>
      </c>
      <c r="J205" s="13">
        <f t="shared" si="7"/>
        <v>9330.5999999999985</v>
      </c>
      <c r="K205" s="6"/>
    </row>
    <row r="206" spans="1:11" x14ac:dyDescent="0.25">
      <c r="A206" s="3">
        <v>199</v>
      </c>
      <c r="B206" s="14" t="s">
        <v>640</v>
      </c>
      <c r="C206" s="15" t="str">
        <f>"DP-02/6-9057/14"</f>
        <v>DP-02/6-9057/14</v>
      </c>
      <c r="D206" s="15" t="str">
        <f t="shared" si="6"/>
        <v>HRVATSKA POŠTA D.D.</v>
      </c>
      <c r="E206" s="16">
        <v>41730</v>
      </c>
      <c r="F206" s="16">
        <v>42403</v>
      </c>
      <c r="G206" s="13">
        <v>537014.19999999995</v>
      </c>
      <c r="H206" s="16">
        <v>42403</v>
      </c>
      <c r="I206" s="13">
        <v>38744.54</v>
      </c>
      <c r="J206" s="13">
        <f t="shared" si="7"/>
        <v>48430.675000000003</v>
      </c>
      <c r="K206" s="6"/>
    </row>
    <row r="207" spans="1:11" x14ac:dyDescent="0.25">
      <c r="A207" s="3">
        <v>200</v>
      </c>
      <c r="B207" s="14" t="s">
        <v>383</v>
      </c>
      <c r="C207" s="15" t="str">
        <f>"DP-2/02-8823/14"</f>
        <v>DP-2/02-8823/14</v>
      </c>
      <c r="D207" s="15" t="str">
        <f t="shared" si="6"/>
        <v>HRVATSKA POŠTA D.D.</v>
      </c>
      <c r="E207" s="16">
        <v>41757</v>
      </c>
      <c r="F207" s="16">
        <v>42461</v>
      </c>
      <c r="G207" s="13">
        <v>1245021.58</v>
      </c>
      <c r="H207" s="16">
        <v>42461</v>
      </c>
      <c r="I207" s="13">
        <v>583856.97</v>
      </c>
      <c r="J207" s="13">
        <f t="shared" si="7"/>
        <v>729821.21249999991</v>
      </c>
      <c r="K207" s="6"/>
    </row>
    <row r="208" spans="1:11" x14ac:dyDescent="0.25">
      <c r="A208" s="3">
        <v>201</v>
      </c>
      <c r="B208" s="14" t="s">
        <v>641</v>
      </c>
      <c r="C208" s="15" t="str">
        <f>"DP-2/02-8904/14"</f>
        <v>DP-2/02-8904/14</v>
      </c>
      <c r="D208" s="15" t="str">
        <f t="shared" si="6"/>
        <v>HRVATSKA POŠTA D.D.</v>
      </c>
      <c r="E208" s="16">
        <v>41730</v>
      </c>
      <c r="F208" s="16">
        <v>42461</v>
      </c>
      <c r="G208" s="13">
        <v>690510.62</v>
      </c>
      <c r="H208" s="16">
        <v>42461</v>
      </c>
      <c r="I208" s="13">
        <v>201084.89</v>
      </c>
      <c r="J208" s="13">
        <f t="shared" si="7"/>
        <v>251356.11250000002</v>
      </c>
      <c r="K208" s="6"/>
    </row>
    <row r="209" spans="1:11" x14ac:dyDescent="0.25">
      <c r="A209" s="3">
        <v>202</v>
      </c>
      <c r="B209" s="14" t="s">
        <v>40</v>
      </c>
      <c r="C209" s="15" t="str">
        <f>"DP-2/2-8998/14"</f>
        <v>DP-2/2-8998/14</v>
      </c>
      <c r="D209" s="15" t="str">
        <f t="shared" si="6"/>
        <v>HRVATSKA POŠTA D.D.</v>
      </c>
      <c r="E209" s="16">
        <v>41730</v>
      </c>
      <c r="F209" s="16">
        <v>42461</v>
      </c>
      <c r="G209" s="13">
        <v>64968.5</v>
      </c>
      <c r="H209" s="16">
        <v>42461</v>
      </c>
      <c r="I209" s="13">
        <v>24946.51</v>
      </c>
      <c r="J209" s="13">
        <f t="shared" si="7"/>
        <v>31183.137499999997</v>
      </c>
      <c r="K209" s="6"/>
    </row>
    <row r="210" spans="1:11" x14ac:dyDescent="0.25">
      <c r="A210" s="3">
        <v>203</v>
      </c>
      <c r="B210" s="14" t="s">
        <v>274</v>
      </c>
      <c r="C210" s="15" t="str">
        <f>"DP-2/3-8572/14"</f>
        <v>DP-2/3-8572/14</v>
      </c>
      <c r="D210" s="15" t="str">
        <f t="shared" si="6"/>
        <v>HRVATSKA POŠTA D.D.</v>
      </c>
      <c r="E210" s="16">
        <v>41737</v>
      </c>
      <c r="F210" s="16">
        <v>42461</v>
      </c>
      <c r="G210" s="13">
        <v>295892.47999999998</v>
      </c>
      <c r="H210" s="16">
        <v>42461</v>
      </c>
      <c r="I210" s="13">
        <v>151255.24</v>
      </c>
      <c r="J210" s="13">
        <f t="shared" si="7"/>
        <v>189069.05</v>
      </c>
      <c r="K210" s="6"/>
    </row>
    <row r="211" spans="1:11" ht="24" x14ac:dyDescent="0.25">
      <c r="A211" s="3">
        <v>204</v>
      </c>
      <c r="B211" s="14" t="s">
        <v>39</v>
      </c>
      <c r="C211" s="15" t="str">
        <f>"DP-2-009132/2014"</f>
        <v>DP-2-009132/2014</v>
      </c>
      <c r="D211" s="15" t="str">
        <f t="shared" si="6"/>
        <v>HRVATSKA POŠTA D.D.</v>
      </c>
      <c r="E211" s="16">
        <v>41730</v>
      </c>
      <c r="F211" s="16">
        <v>42403</v>
      </c>
      <c r="G211" s="13">
        <v>210381.2</v>
      </c>
      <c r="H211" s="16">
        <v>42403</v>
      </c>
      <c r="I211" s="13">
        <v>171835.24</v>
      </c>
      <c r="J211" s="13">
        <f t="shared" si="7"/>
        <v>214794.05</v>
      </c>
      <c r="K211" s="6"/>
    </row>
    <row r="212" spans="1:11" ht="24" x14ac:dyDescent="0.25">
      <c r="A212" s="3">
        <v>205</v>
      </c>
      <c r="B212" s="14" t="s">
        <v>169</v>
      </c>
      <c r="C212" s="15" t="str">
        <f>"17 SU-125/2014-5"</f>
        <v>17 SU-125/2014-5</v>
      </c>
      <c r="D212" s="15" t="str">
        <f t="shared" si="6"/>
        <v>HRVATSKA POŠTA D.D.</v>
      </c>
      <c r="E212" s="16">
        <v>41722</v>
      </c>
      <c r="F212" s="16">
        <v>42403</v>
      </c>
      <c r="G212" s="13">
        <v>1131429.69</v>
      </c>
      <c r="H212" s="16">
        <v>42403</v>
      </c>
      <c r="I212" s="13">
        <v>282965.3</v>
      </c>
      <c r="J212" s="13">
        <f t="shared" si="7"/>
        <v>353706.625</v>
      </c>
      <c r="K212" s="6"/>
    </row>
    <row r="213" spans="1:11" ht="24" x14ac:dyDescent="0.25">
      <c r="A213" s="3">
        <v>206</v>
      </c>
      <c r="B213" s="14" t="s">
        <v>331</v>
      </c>
      <c r="C213" s="15" t="str">
        <f>"DP-02/28905/2014"</f>
        <v>DP-02/28905/2014</v>
      </c>
      <c r="D213" s="15" t="str">
        <f t="shared" si="6"/>
        <v>HRVATSKA POŠTA D.D.</v>
      </c>
      <c r="E213" s="16">
        <v>42416</v>
      </c>
      <c r="F213" s="16">
        <v>42460</v>
      </c>
      <c r="G213" s="13">
        <v>37629.300000000003</v>
      </c>
      <c r="H213" s="16">
        <v>42460</v>
      </c>
      <c r="I213" s="13">
        <v>27904</v>
      </c>
      <c r="J213" s="13">
        <f t="shared" si="7"/>
        <v>34880</v>
      </c>
      <c r="K213" s="6"/>
    </row>
    <row r="214" spans="1:11" x14ac:dyDescent="0.25">
      <c r="A214" s="3">
        <v>207</v>
      </c>
      <c r="B214" s="14" t="s">
        <v>317</v>
      </c>
      <c r="C214" s="15" t="str">
        <f>"DP-02/2-8918/14"</f>
        <v>DP-02/2-8918/14</v>
      </c>
      <c r="D214" s="15" t="str">
        <f t="shared" si="6"/>
        <v>HRVATSKA POŠTA D.D.</v>
      </c>
      <c r="E214" s="16">
        <v>41730</v>
      </c>
      <c r="F214" s="16">
        <v>42403</v>
      </c>
      <c r="G214" s="13">
        <v>182092.79999999999</v>
      </c>
      <c r="H214" s="16">
        <v>42403</v>
      </c>
      <c r="I214" s="13">
        <v>64024.49</v>
      </c>
      <c r="J214" s="13">
        <f t="shared" si="7"/>
        <v>80030.612500000003</v>
      </c>
      <c r="K214" s="6"/>
    </row>
    <row r="215" spans="1:11" x14ac:dyDescent="0.25">
      <c r="A215" s="3">
        <v>208</v>
      </c>
      <c r="B215" s="14" t="s">
        <v>69</v>
      </c>
      <c r="C215" s="15" t="str">
        <f>"DP-02/2-8436/14"</f>
        <v>DP-02/2-8436/14</v>
      </c>
      <c r="D215" s="15" t="str">
        <f t="shared" ref="D215:D245" si="8">CONCATENATE("HRVATSKA POŠTA D.D.")</f>
        <v>HRVATSKA POŠTA D.D.</v>
      </c>
      <c r="E215" s="16">
        <v>41730</v>
      </c>
      <c r="F215" s="16">
        <v>42403</v>
      </c>
      <c r="G215" s="13">
        <v>13250.4</v>
      </c>
      <c r="H215" s="16">
        <v>42403</v>
      </c>
      <c r="I215" s="13">
        <v>4457.6400000000003</v>
      </c>
      <c r="J215" s="13">
        <f t="shared" si="7"/>
        <v>5572.05</v>
      </c>
      <c r="K215" s="6"/>
    </row>
    <row r="216" spans="1:11" x14ac:dyDescent="0.25">
      <c r="A216" s="3">
        <v>209</v>
      </c>
      <c r="B216" s="14" t="s">
        <v>72</v>
      </c>
      <c r="C216" s="15" t="str">
        <f>"333-01/13-01/23"</f>
        <v>333-01/13-01/23</v>
      </c>
      <c r="D216" s="15" t="str">
        <f t="shared" si="8"/>
        <v>HRVATSKA POŠTA D.D.</v>
      </c>
      <c r="E216" s="16">
        <v>41723</v>
      </c>
      <c r="F216" s="16"/>
      <c r="G216" s="13">
        <v>29668.14</v>
      </c>
      <c r="H216" s="16"/>
      <c r="I216" s="13">
        <v>10020</v>
      </c>
      <c r="J216" s="13">
        <f t="shared" si="7"/>
        <v>12525</v>
      </c>
      <c r="K216" s="6"/>
    </row>
    <row r="217" spans="1:11" x14ac:dyDescent="0.25">
      <c r="A217" s="3">
        <v>210</v>
      </c>
      <c r="B217" s="14" t="s">
        <v>268</v>
      </c>
      <c r="C217" s="15" t="str">
        <f>"DP-02/5-9381/14"</f>
        <v>DP-02/5-9381/14</v>
      </c>
      <c r="D217" s="15" t="str">
        <f t="shared" si="8"/>
        <v>HRVATSKA POŠTA D.D.</v>
      </c>
      <c r="E217" s="16">
        <v>41738</v>
      </c>
      <c r="F217" s="16">
        <v>42460</v>
      </c>
      <c r="G217" s="13">
        <v>208920</v>
      </c>
      <c r="H217" s="16">
        <v>42460</v>
      </c>
      <c r="I217" s="13">
        <v>126180.78</v>
      </c>
      <c r="J217" s="13">
        <f t="shared" si="7"/>
        <v>157725.97500000001</v>
      </c>
      <c r="K217" s="6"/>
    </row>
    <row r="218" spans="1:11" x14ac:dyDescent="0.25">
      <c r="A218" s="3">
        <v>211</v>
      </c>
      <c r="B218" s="14" t="s">
        <v>256</v>
      </c>
      <c r="C218" s="15" t="str">
        <f>"DP-2/1010219/14"</f>
        <v>DP-2/1010219/14</v>
      </c>
      <c r="D218" s="15" t="str">
        <f t="shared" si="8"/>
        <v>HRVATSKA POŠTA D.D.</v>
      </c>
      <c r="E218" s="16">
        <v>41730</v>
      </c>
      <c r="F218" s="16">
        <v>42403</v>
      </c>
      <c r="G218" s="13">
        <v>1492094.9</v>
      </c>
      <c r="H218" s="16">
        <v>42403</v>
      </c>
      <c r="I218" s="13">
        <v>877864.12</v>
      </c>
      <c r="J218" s="13">
        <f t="shared" si="7"/>
        <v>1097330.1499999999</v>
      </c>
      <c r="K218" s="6"/>
    </row>
    <row r="219" spans="1:11" ht="24" x14ac:dyDescent="0.25">
      <c r="A219" s="3">
        <v>212</v>
      </c>
      <c r="B219" s="14" t="s">
        <v>281</v>
      </c>
      <c r="C219" s="15" t="str">
        <f>"DP-02/6-8446/14"</f>
        <v>DP-02/6-8446/14</v>
      </c>
      <c r="D219" s="15" t="str">
        <f t="shared" si="8"/>
        <v>HRVATSKA POŠTA D.D.</v>
      </c>
      <c r="E219" s="16">
        <v>41584</v>
      </c>
      <c r="F219" s="16">
        <v>42461</v>
      </c>
      <c r="G219" s="13">
        <v>41850.5</v>
      </c>
      <c r="H219" s="16">
        <v>42461</v>
      </c>
      <c r="I219" s="13">
        <v>20659.36</v>
      </c>
      <c r="J219" s="13">
        <f t="shared" si="7"/>
        <v>25824.2</v>
      </c>
      <c r="K219" s="6"/>
    </row>
    <row r="220" spans="1:11" x14ac:dyDescent="0.25">
      <c r="A220" s="3">
        <v>213</v>
      </c>
      <c r="B220" s="14" t="s">
        <v>282</v>
      </c>
      <c r="C220" s="15" t="str">
        <f>"11/2013-VPS"</f>
        <v>11/2013-VPS</v>
      </c>
      <c r="D220" s="15" t="str">
        <f t="shared" si="8"/>
        <v>HRVATSKA POŠTA D.D.</v>
      </c>
      <c r="E220" s="16">
        <v>41729</v>
      </c>
      <c r="F220" s="16">
        <v>42403</v>
      </c>
      <c r="G220" s="13">
        <v>159421.12</v>
      </c>
      <c r="H220" s="16">
        <v>42403</v>
      </c>
      <c r="I220" s="13">
        <v>80196.17</v>
      </c>
      <c r="J220" s="13">
        <f t="shared" si="7"/>
        <v>100245.21249999999</v>
      </c>
      <c r="K220" s="6"/>
    </row>
    <row r="221" spans="1:11" ht="36" x14ac:dyDescent="0.25">
      <c r="A221" s="3">
        <v>214</v>
      </c>
      <c r="B221" s="14" t="s">
        <v>328</v>
      </c>
      <c r="C221" s="15" t="str">
        <f>"DP-02/5-11760/14"</f>
        <v>DP-02/5-11760/14</v>
      </c>
      <c r="D221" s="15" t="str">
        <f t="shared" si="8"/>
        <v>HRVATSKA POŠTA D.D.</v>
      </c>
      <c r="E221" s="16">
        <v>41759</v>
      </c>
      <c r="F221" s="16">
        <v>42490</v>
      </c>
      <c r="G221" s="13">
        <v>29468.31</v>
      </c>
      <c r="H221" s="16">
        <v>42490</v>
      </c>
      <c r="I221" s="13">
        <v>22009.040000000001</v>
      </c>
      <c r="J221" s="13">
        <f t="shared" si="7"/>
        <v>27511.300000000003</v>
      </c>
      <c r="K221" s="6"/>
    </row>
    <row r="222" spans="1:11" x14ac:dyDescent="0.25">
      <c r="A222" s="3">
        <v>215</v>
      </c>
      <c r="B222" s="14" t="s">
        <v>311</v>
      </c>
      <c r="C222" s="15" t="str">
        <f>"DP-2/3-9289/14"</f>
        <v>DP-2/3-9289/14</v>
      </c>
      <c r="D222" s="15" t="str">
        <f t="shared" si="8"/>
        <v>HRVATSKA POŠTA D.D.</v>
      </c>
      <c r="E222" s="16">
        <v>41730</v>
      </c>
      <c r="F222" s="16">
        <v>42461</v>
      </c>
      <c r="G222" s="13">
        <v>6758.86</v>
      </c>
      <c r="H222" s="16">
        <v>42461</v>
      </c>
      <c r="I222" s="13">
        <v>4595.66</v>
      </c>
      <c r="J222" s="13">
        <f t="shared" si="7"/>
        <v>5744.5749999999998</v>
      </c>
      <c r="K222" s="6"/>
    </row>
    <row r="223" spans="1:11" ht="24" x14ac:dyDescent="0.25">
      <c r="A223" s="3">
        <v>216</v>
      </c>
      <c r="B223" s="14" t="s">
        <v>171</v>
      </c>
      <c r="C223" s="15" t="str">
        <f>"DP-02/9/5-14161/15"</f>
        <v>DP-02/9/5-14161/15</v>
      </c>
      <c r="D223" s="15" t="str">
        <f t="shared" si="8"/>
        <v>HRVATSKA POŠTA D.D.</v>
      </c>
      <c r="E223" s="16">
        <v>41738</v>
      </c>
      <c r="F223" s="16"/>
      <c r="G223" s="13">
        <v>1267259.45</v>
      </c>
      <c r="H223" s="16"/>
      <c r="I223" s="13">
        <v>518062.63</v>
      </c>
      <c r="J223" s="13">
        <f t="shared" si="7"/>
        <v>647578.28749999998</v>
      </c>
      <c r="K223" s="6"/>
    </row>
    <row r="224" spans="1:11" x14ac:dyDescent="0.25">
      <c r="A224" s="3">
        <v>217</v>
      </c>
      <c r="B224" s="14" t="s">
        <v>273</v>
      </c>
      <c r="C224" s="15" t="str">
        <f>"DP-02/6-9465/14"</f>
        <v>DP-02/6-9465/14</v>
      </c>
      <c r="D224" s="15" t="str">
        <f t="shared" si="8"/>
        <v>HRVATSKA POŠTA D.D.</v>
      </c>
      <c r="E224" s="16">
        <v>41759</v>
      </c>
      <c r="F224" s="16">
        <v>42460</v>
      </c>
      <c r="G224" s="13">
        <v>127981.14</v>
      </c>
      <c r="H224" s="16">
        <v>42460</v>
      </c>
      <c r="I224" s="13">
        <v>65949.42</v>
      </c>
      <c r="J224" s="13">
        <f t="shared" si="7"/>
        <v>82436.774999999994</v>
      </c>
      <c r="K224" s="6"/>
    </row>
    <row r="225" spans="1:11" x14ac:dyDescent="0.25">
      <c r="A225" s="3">
        <v>218</v>
      </c>
      <c r="B225" s="14" t="s">
        <v>406</v>
      </c>
      <c r="C225" s="15" t="str">
        <f>"DP-02-21489-13"</f>
        <v>DP-02-21489-13</v>
      </c>
      <c r="D225" s="15" t="str">
        <f t="shared" si="8"/>
        <v>HRVATSKA POŠTA D.D.</v>
      </c>
      <c r="E225" s="16">
        <v>41730</v>
      </c>
      <c r="F225" s="16">
        <v>42461</v>
      </c>
      <c r="G225" s="13">
        <v>358005</v>
      </c>
      <c r="H225" s="16">
        <v>42461</v>
      </c>
      <c r="I225" s="13">
        <v>221006.41</v>
      </c>
      <c r="J225" s="13">
        <f t="shared" si="7"/>
        <v>276258.01250000001</v>
      </c>
      <c r="K225" s="6"/>
    </row>
    <row r="226" spans="1:11" x14ac:dyDescent="0.25">
      <c r="A226" s="3">
        <v>219</v>
      </c>
      <c r="B226" s="14" t="s">
        <v>196</v>
      </c>
      <c r="C226" s="15" t="str">
        <f>"DP-2/3-8546/14"</f>
        <v>DP-2/3-8546/14</v>
      </c>
      <c r="D226" s="15" t="str">
        <f t="shared" si="8"/>
        <v>HRVATSKA POŠTA D.D.</v>
      </c>
      <c r="E226" s="16">
        <v>41730</v>
      </c>
      <c r="F226" s="16">
        <v>42460</v>
      </c>
      <c r="G226" s="13">
        <v>16120.32</v>
      </c>
      <c r="H226" s="16">
        <v>42460</v>
      </c>
      <c r="I226" s="13">
        <v>5819.61</v>
      </c>
      <c r="J226" s="13">
        <f t="shared" si="7"/>
        <v>7274.5124999999998</v>
      </c>
      <c r="K226" s="6"/>
    </row>
    <row r="227" spans="1:11" ht="24" x14ac:dyDescent="0.25">
      <c r="A227" s="3">
        <v>220</v>
      </c>
      <c r="B227" s="14" t="s">
        <v>314</v>
      </c>
      <c r="C227" s="15" t="str">
        <f>"DP-02/1-009862/14"</f>
        <v>DP-02/1-009862/14</v>
      </c>
      <c r="D227" s="15" t="str">
        <f t="shared" si="8"/>
        <v>HRVATSKA POŠTA D.D.</v>
      </c>
      <c r="E227" s="16">
        <v>41733</v>
      </c>
      <c r="F227" s="16">
        <v>42403</v>
      </c>
      <c r="G227" s="13">
        <v>122595.64</v>
      </c>
      <c r="H227" s="16">
        <v>42403</v>
      </c>
      <c r="I227" s="13">
        <v>59303.839999999997</v>
      </c>
      <c r="J227" s="13">
        <f t="shared" si="7"/>
        <v>74129.799999999988</v>
      </c>
      <c r="K227" s="6"/>
    </row>
    <row r="228" spans="1:11" x14ac:dyDescent="0.25">
      <c r="A228" s="3">
        <v>221</v>
      </c>
      <c r="B228" s="14" t="s">
        <v>199</v>
      </c>
      <c r="C228" s="15" t="str">
        <f>"DP-02/6-9050/14"</f>
        <v>DP-02/6-9050/14</v>
      </c>
      <c r="D228" s="15" t="str">
        <f t="shared" si="8"/>
        <v>HRVATSKA POŠTA D.D.</v>
      </c>
      <c r="E228" s="16">
        <v>41729</v>
      </c>
      <c r="F228" s="16"/>
      <c r="G228" s="13">
        <v>456232.72</v>
      </c>
      <c r="H228" s="16"/>
      <c r="I228" s="13">
        <v>57029.09</v>
      </c>
      <c r="J228" s="13">
        <f t="shared" si="7"/>
        <v>71286.362499999988</v>
      </c>
      <c r="K228" s="6"/>
    </row>
    <row r="229" spans="1:11" ht="24" x14ac:dyDescent="0.25">
      <c r="A229" s="3">
        <v>222</v>
      </c>
      <c r="B229" s="14" t="s">
        <v>91</v>
      </c>
      <c r="C229" s="15" t="str">
        <f>"U08/14"</f>
        <v>U08/14</v>
      </c>
      <c r="D229" s="15" t="str">
        <f t="shared" si="8"/>
        <v>HRVATSKA POŠTA D.D.</v>
      </c>
      <c r="E229" s="16">
        <v>41729</v>
      </c>
      <c r="F229" s="16">
        <v>42403</v>
      </c>
      <c r="G229" s="13">
        <v>177170.6</v>
      </c>
      <c r="H229" s="16">
        <v>42403</v>
      </c>
      <c r="I229" s="13">
        <v>84302.399999999994</v>
      </c>
      <c r="J229" s="13">
        <f t="shared" si="7"/>
        <v>105378</v>
      </c>
      <c r="K229" s="6"/>
    </row>
    <row r="230" spans="1:11" x14ac:dyDescent="0.25">
      <c r="A230" s="3">
        <v>223</v>
      </c>
      <c r="B230" s="14" t="s">
        <v>316</v>
      </c>
      <c r="C230" s="15" t="str">
        <f>"DP-02/6-8445/14"</f>
        <v>DP-02/6-8445/14</v>
      </c>
      <c r="D230" s="15" t="str">
        <f t="shared" si="8"/>
        <v>HRVATSKA POŠTA D.D.</v>
      </c>
      <c r="E230" s="16">
        <v>41725</v>
      </c>
      <c r="F230" s="16">
        <v>42456</v>
      </c>
      <c r="G230" s="13">
        <v>257630.44</v>
      </c>
      <c r="H230" s="16">
        <v>42456</v>
      </c>
      <c r="I230" s="13">
        <v>109781.46</v>
      </c>
      <c r="J230" s="13">
        <f t="shared" si="7"/>
        <v>137226.82500000001</v>
      </c>
      <c r="K230" s="6"/>
    </row>
    <row r="231" spans="1:11" x14ac:dyDescent="0.25">
      <c r="A231" s="3">
        <v>224</v>
      </c>
      <c r="B231" s="14" t="s">
        <v>35</v>
      </c>
      <c r="C231" s="15" t="str">
        <f>"DP-2-008635/14"</f>
        <v>DP-2-008635/14</v>
      </c>
      <c r="D231" s="15" t="str">
        <f t="shared" si="8"/>
        <v>HRVATSKA POŠTA D.D.</v>
      </c>
      <c r="E231" s="16">
        <v>41753</v>
      </c>
      <c r="F231" s="16">
        <v>42402</v>
      </c>
      <c r="G231" s="13">
        <v>5452544.6699999999</v>
      </c>
      <c r="H231" s="16">
        <v>42402</v>
      </c>
      <c r="I231" s="13">
        <v>2707052.26</v>
      </c>
      <c r="J231" s="13">
        <f t="shared" si="7"/>
        <v>3383815.3249999997</v>
      </c>
      <c r="K231" s="6"/>
    </row>
    <row r="232" spans="1:11" ht="24" x14ac:dyDescent="0.25">
      <c r="A232" s="3">
        <v>225</v>
      </c>
      <c r="B232" s="14" t="s">
        <v>50</v>
      </c>
      <c r="C232" s="15" t="str">
        <f>"DP-02/1-8614/14"</f>
        <v>DP-02/1-8614/14</v>
      </c>
      <c r="D232" s="15" t="str">
        <f t="shared" si="8"/>
        <v>HRVATSKA POŠTA D.D.</v>
      </c>
      <c r="E232" s="16">
        <v>41718</v>
      </c>
      <c r="F232" s="16">
        <v>42403</v>
      </c>
      <c r="G232" s="13">
        <v>29790.5</v>
      </c>
      <c r="H232" s="16">
        <v>42403</v>
      </c>
      <c r="I232" s="13">
        <v>5414.73</v>
      </c>
      <c r="J232" s="13">
        <f t="shared" si="7"/>
        <v>6768.4124999999995</v>
      </c>
      <c r="K232" s="6"/>
    </row>
    <row r="233" spans="1:11" ht="24" x14ac:dyDescent="0.25">
      <c r="A233" s="3">
        <v>226</v>
      </c>
      <c r="B233" s="14" t="s">
        <v>61</v>
      </c>
      <c r="C233" s="15" t="str">
        <f>"DP-02-6978/14"</f>
        <v>DP-02-6978/14</v>
      </c>
      <c r="D233" s="15" t="str">
        <f t="shared" si="8"/>
        <v>HRVATSKA POŠTA D.D.</v>
      </c>
      <c r="E233" s="16">
        <v>41722</v>
      </c>
      <c r="F233" s="16">
        <v>42403</v>
      </c>
      <c r="G233" s="13">
        <v>164000.35999999999</v>
      </c>
      <c r="H233" s="16">
        <v>42403</v>
      </c>
      <c r="I233" s="13">
        <v>62873.1</v>
      </c>
      <c r="J233" s="13">
        <f t="shared" si="7"/>
        <v>78591.375</v>
      </c>
      <c r="K233" s="6"/>
    </row>
    <row r="234" spans="1:11" x14ac:dyDescent="0.25">
      <c r="A234" s="3">
        <v>227</v>
      </c>
      <c r="B234" s="14" t="s">
        <v>90</v>
      </c>
      <c r="C234" s="15" t="str">
        <f>"DP-2-008638/14"</f>
        <v>DP-2-008638/14</v>
      </c>
      <c r="D234" s="15" t="str">
        <f t="shared" si="8"/>
        <v>HRVATSKA POŠTA D.D.</v>
      </c>
      <c r="E234" s="16">
        <v>41719</v>
      </c>
      <c r="F234" s="16">
        <v>42403</v>
      </c>
      <c r="G234" s="13">
        <v>393475.26</v>
      </c>
      <c r="H234" s="16">
        <v>42403</v>
      </c>
      <c r="I234" s="13">
        <v>371453.07</v>
      </c>
      <c r="J234" s="13">
        <f t="shared" si="7"/>
        <v>464316.33750000002</v>
      </c>
      <c r="K234" s="6"/>
    </row>
    <row r="235" spans="1:11" ht="24" x14ac:dyDescent="0.25">
      <c r="A235" s="3">
        <v>228</v>
      </c>
      <c r="B235" s="14" t="s">
        <v>48</v>
      </c>
      <c r="C235" s="15" t="str">
        <f>"DP-02-7092/14"</f>
        <v>DP-02-7092/14</v>
      </c>
      <c r="D235" s="15" t="str">
        <f t="shared" si="8"/>
        <v>HRVATSKA POŠTA D.D.</v>
      </c>
      <c r="E235" s="16">
        <v>41708</v>
      </c>
      <c r="F235" s="16">
        <v>42403</v>
      </c>
      <c r="G235" s="13">
        <v>277071.90000000002</v>
      </c>
      <c r="H235" s="16">
        <v>42403</v>
      </c>
      <c r="I235" s="13">
        <v>118426.34</v>
      </c>
      <c r="J235" s="13">
        <f t="shared" si="7"/>
        <v>148032.92499999999</v>
      </c>
      <c r="K235" s="6"/>
    </row>
    <row r="236" spans="1:11" ht="24" x14ac:dyDescent="0.25">
      <c r="A236" s="3">
        <v>229</v>
      </c>
      <c r="B236" s="14" t="s">
        <v>356</v>
      </c>
      <c r="C236" s="15" t="str">
        <f>"DP-02/1-010556/14"</f>
        <v>DP-02/1-010556/14</v>
      </c>
      <c r="D236" s="15" t="str">
        <f t="shared" si="8"/>
        <v>HRVATSKA POŠTA D.D.</v>
      </c>
      <c r="E236" s="16">
        <v>41672</v>
      </c>
      <c r="F236" s="16">
        <v>42403</v>
      </c>
      <c r="G236" s="13">
        <v>309169.90000000002</v>
      </c>
      <c r="H236" s="16">
        <v>42403</v>
      </c>
      <c r="I236" s="13">
        <v>107125.22</v>
      </c>
      <c r="J236" s="13">
        <f t="shared" si="7"/>
        <v>133906.52499999999</v>
      </c>
      <c r="K236" s="6"/>
    </row>
    <row r="237" spans="1:11" x14ac:dyDescent="0.25">
      <c r="A237" s="3">
        <v>230</v>
      </c>
      <c r="B237" s="14" t="s">
        <v>336</v>
      </c>
      <c r="C237" s="15" t="str">
        <f>"11/2013-1"</f>
        <v>11/2013-1</v>
      </c>
      <c r="D237" s="15" t="str">
        <f t="shared" si="8"/>
        <v>HRVATSKA POŠTA D.D.</v>
      </c>
      <c r="E237" s="16">
        <v>41673</v>
      </c>
      <c r="F237" s="16">
        <v>42403</v>
      </c>
      <c r="G237" s="13">
        <v>662932</v>
      </c>
      <c r="H237" s="16">
        <v>42403</v>
      </c>
      <c r="I237" s="13">
        <v>1116249.1000000001</v>
      </c>
      <c r="J237" s="13">
        <f t="shared" si="7"/>
        <v>1395311.375</v>
      </c>
      <c r="K237" s="6"/>
    </row>
    <row r="238" spans="1:11" ht="36" x14ac:dyDescent="0.25">
      <c r="A238" s="3">
        <v>231</v>
      </c>
      <c r="B238" s="14" t="s">
        <v>34</v>
      </c>
      <c r="C238" s="15" t="str">
        <f>"19/UZOP/2014"</f>
        <v>19/UZOP/2014</v>
      </c>
      <c r="D238" s="15" t="str">
        <f t="shared" si="8"/>
        <v>HRVATSKA POŠTA D.D.</v>
      </c>
      <c r="E238" s="16">
        <v>41671</v>
      </c>
      <c r="F238" s="16">
        <v>42403</v>
      </c>
      <c r="G238" s="13">
        <v>399334.12</v>
      </c>
      <c r="H238" s="16">
        <v>42403</v>
      </c>
      <c r="I238" s="13">
        <v>118429.91</v>
      </c>
      <c r="J238" s="13">
        <f t="shared" si="7"/>
        <v>148037.38750000001</v>
      </c>
      <c r="K238" s="6"/>
    </row>
    <row r="239" spans="1:11" ht="24" x14ac:dyDescent="0.25">
      <c r="A239" s="3">
        <v>232</v>
      </c>
      <c r="B239" s="14" t="s">
        <v>318</v>
      </c>
      <c r="C239" s="15" t="str">
        <f>"DP-02/1-010220/14"</f>
        <v>DP-02/1-010220/14</v>
      </c>
      <c r="D239" s="15" t="str">
        <f t="shared" si="8"/>
        <v>HRVATSKA POŠTA D.D.</v>
      </c>
      <c r="E239" s="16">
        <v>41673</v>
      </c>
      <c r="F239" s="16">
        <v>42403</v>
      </c>
      <c r="G239" s="13">
        <v>113658.52</v>
      </c>
      <c r="H239" s="16">
        <v>42403</v>
      </c>
      <c r="I239" s="13">
        <v>63996.11</v>
      </c>
      <c r="J239" s="13">
        <f t="shared" si="7"/>
        <v>79995.137499999997</v>
      </c>
      <c r="K239" s="6"/>
    </row>
    <row r="240" spans="1:11" ht="24" x14ac:dyDescent="0.25">
      <c r="A240" s="3">
        <v>233</v>
      </c>
      <c r="B240" s="14" t="s">
        <v>358</v>
      </c>
      <c r="C240" s="15" t="str">
        <f>"DP-02/1-010224/14"</f>
        <v>DP-02/1-010224/14</v>
      </c>
      <c r="D240" s="15" t="str">
        <f t="shared" si="8"/>
        <v>HRVATSKA POŠTA D.D.</v>
      </c>
      <c r="E240" s="16">
        <v>41673</v>
      </c>
      <c r="F240" s="16"/>
      <c r="G240" s="13">
        <v>791280.8</v>
      </c>
      <c r="H240" s="16"/>
      <c r="I240" s="13">
        <v>98969.8</v>
      </c>
      <c r="J240" s="13">
        <f t="shared" si="7"/>
        <v>123712.25</v>
      </c>
      <c r="K240" s="6"/>
    </row>
    <row r="241" spans="1:11" x14ac:dyDescent="0.25">
      <c r="A241" s="3">
        <v>234</v>
      </c>
      <c r="B241" s="14" t="s">
        <v>54</v>
      </c>
      <c r="C241" s="15" t="str">
        <f>"DP-02-008596/14"</f>
        <v>DP-02-008596/14</v>
      </c>
      <c r="D241" s="15" t="str">
        <f t="shared" si="8"/>
        <v>HRVATSKA POŠTA D.D.</v>
      </c>
      <c r="E241" s="16">
        <v>41717</v>
      </c>
      <c r="F241" s="16">
        <v>42035</v>
      </c>
      <c r="G241" s="13">
        <v>769109.7</v>
      </c>
      <c r="H241" s="16">
        <v>42035</v>
      </c>
      <c r="I241" s="13">
        <v>576099.24</v>
      </c>
      <c r="J241" s="13">
        <f t="shared" si="7"/>
        <v>720124.05</v>
      </c>
      <c r="K241" s="6"/>
    </row>
    <row r="242" spans="1:11" ht="24" x14ac:dyDescent="0.25">
      <c r="A242" s="3">
        <v>235</v>
      </c>
      <c r="B242" s="14" t="s">
        <v>58</v>
      </c>
      <c r="C242" s="15" t="str">
        <f>"DP-0010398/14"</f>
        <v>DP-0010398/14</v>
      </c>
      <c r="D242" s="15" t="str">
        <f t="shared" si="8"/>
        <v>HRVATSKA POŠTA D.D.</v>
      </c>
      <c r="E242" s="16">
        <v>41739</v>
      </c>
      <c r="F242" s="16">
        <v>42403</v>
      </c>
      <c r="G242" s="13">
        <v>338748.8</v>
      </c>
      <c r="H242" s="16">
        <v>42403</v>
      </c>
      <c r="I242" s="13">
        <v>151617.04999999999</v>
      </c>
      <c r="J242" s="13">
        <f t="shared" si="7"/>
        <v>189521.3125</v>
      </c>
      <c r="K242" s="6"/>
    </row>
    <row r="243" spans="1:11" ht="24" x14ac:dyDescent="0.25">
      <c r="A243" s="3">
        <v>236</v>
      </c>
      <c r="B243" s="14" t="s">
        <v>238</v>
      </c>
      <c r="C243" s="15" t="str">
        <f>"DP-02/1-019265/14"</f>
        <v>DP-02/1-019265/14</v>
      </c>
      <c r="D243" s="15" t="str">
        <f t="shared" si="8"/>
        <v>HRVATSKA POŠTA D.D.</v>
      </c>
      <c r="E243" s="16">
        <v>41835</v>
      </c>
      <c r="F243" s="16">
        <v>42403</v>
      </c>
      <c r="G243" s="13">
        <v>1251036.5</v>
      </c>
      <c r="H243" s="16">
        <v>42403</v>
      </c>
      <c r="I243" s="13">
        <v>216664.4</v>
      </c>
      <c r="J243" s="13">
        <f t="shared" si="7"/>
        <v>270830.5</v>
      </c>
      <c r="K243" s="6"/>
    </row>
    <row r="244" spans="1:11" x14ac:dyDescent="0.25">
      <c r="A244" s="3">
        <v>237</v>
      </c>
      <c r="B244" s="14" t="s">
        <v>642</v>
      </c>
      <c r="C244" s="15" t="str">
        <f>"DP02/6-8447/14"</f>
        <v>DP02/6-8447/14</v>
      </c>
      <c r="D244" s="15" t="str">
        <f t="shared" si="8"/>
        <v>HRVATSKA POŠTA D.D.</v>
      </c>
      <c r="E244" s="16">
        <v>41730</v>
      </c>
      <c r="F244" s="16">
        <v>42369</v>
      </c>
      <c r="G244" s="13">
        <v>190081.61</v>
      </c>
      <c r="H244" s="16">
        <v>42369</v>
      </c>
      <c r="I244" s="13">
        <v>190081.61</v>
      </c>
      <c r="J244" s="13">
        <f t="shared" si="7"/>
        <v>237602.01249999998</v>
      </c>
      <c r="K244" s="6"/>
    </row>
    <row r="245" spans="1:11" ht="24" x14ac:dyDescent="0.25">
      <c r="A245" s="3">
        <v>238</v>
      </c>
      <c r="B245" s="14" t="s">
        <v>422</v>
      </c>
      <c r="C245" s="15" t="str">
        <f>"DP--02-21/21489/13"</f>
        <v>DP--02-21/21489/13</v>
      </c>
      <c r="D245" s="15" t="str">
        <f t="shared" si="8"/>
        <v>HRVATSKA POŠTA D.D.</v>
      </c>
      <c r="E245" s="16">
        <v>41730</v>
      </c>
      <c r="F245" s="16">
        <v>42461</v>
      </c>
      <c r="G245" s="13">
        <v>97356.06</v>
      </c>
      <c r="H245" s="16">
        <v>42461</v>
      </c>
      <c r="I245" s="13">
        <v>12603</v>
      </c>
      <c r="J245" s="13">
        <f t="shared" si="7"/>
        <v>15753.75</v>
      </c>
      <c r="K245" s="6"/>
    </row>
    <row r="247" spans="1:11" x14ac:dyDescent="0.25">
      <c r="B247" s="41" t="s">
        <v>707</v>
      </c>
      <c r="C247" s="41"/>
      <c r="D247" s="41"/>
      <c r="E247" s="41"/>
      <c r="F247" s="41"/>
      <c r="G247" s="41"/>
      <c r="H247" s="41"/>
      <c r="I247" s="41"/>
      <c r="J247" s="41"/>
      <c r="K247" s="41"/>
    </row>
  </sheetData>
  <sheetProtection algorithmName="SHA-512" hashValue="//PEswPMTxgasQunXs+kkyQAOaBvl3I4D5n4vOFH7XiXwfT/4IDFOMFWOZpXVgPzY38vAMqMYy+fACpFoMfu0w==" saltValue="AsZME42XiqpArEgqcZ3b3Q==" spinCount="100000" sheet="1" objects="1" scenarios="1"/>
  <mergeCells count="4">
    <mergeCell ref="A1:I1"/>
    <mergeCell ref="A4:H4"/>
    <mergeCell ref="A6:K6"/>
    <mergeCell ref="B247:K247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2015. godinu 
za predmete nabave iz nadležnosti Državnog ureda za središnju javnu nabavu</oddHeader>
    <oddFooter>&amp;L&amp;D&amp;C &amp;A&amp;R&amp;P/&amp;N</oddFooter>
  </headerFooter>
  <ignoredErrors>
    <ignoredError sqref="C42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12</vt:i4>
      </vt:variant>
    </vt:vector>
  </HeadingPairs>
  <TitlesOfParts>
    <vt:vector size="24" baseType="lpstr">
      <vt:lpstr>Uredski materijal</vt:lpstr>
      <vt:lpstr>Potrošni materijal</vt:lpstr>
      <vt:lpstr>Računala i računalna oprema</vt:lpstr>
      <vt:lpstr>Usluge u pokretnoj mreži i opr.</vt:lpstr>
      <vt:lpstr>Motorna vozila</vt:lpstr>
      <vt:lpstr>Gume za vozila</vt:lpstr>
      <vt:lpstr>Gorivo</vt:lpstr>
      <vt:lpstr>Opskrba elek. energijom</vt:lpstr>
      <vt:lpstr>Poštanske usluge</vt:lpstr>
      <vt:lpstr>Usluge osiguranja</vt:lpstr>
      <vt:lpstr>Licence</vt:lpstr>
      <vt:lpstr>Usluge čišćenja prostorija</vt:lpstr>
      <vt:lpstr>Gorivo!Ispis_naslova</vt:lpstr>
      <vt:lpstr>'Gume za vozila'!Ispis_naslova</vt:lpstr>
      <vt:lpstr>Licence!Ispis_naslova</vt:lpstr>
      <vt:lpstr>'Motorna vozila'!Ispis_naslova</vt:lpstr>
      <vt:lpstr>'Opskrba elek. energijom'!Ispis_naslova</vt:lpstr>
      <vt:lpstr>'Poštanske usluge'!Ispis_naslova</vt:lpstr>
      <vt:lpstr>'Potrošni materijal'!Ispis_naslova</vt:lpstr>
      <vt:lpstr>'Računala i računalna oprema'!Ispis_naslova</vt:lpstr>
      <vt:lpstr>'Uredski materijal'!Ispis_naslova</vt:lpstr>
      <vt:lpstr>'Usluge čišćenja prostorija'!Ispis_naslova</vt:lpstr>
      <vt:lpstr>'Usluge osiguranja'!Ispis_naslova</vt:lpstr>
      <vt:lpstr>'Usluge u pokretnoj mreži i opr.'!Ispis_naslova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Žužić</dc:creator>
  <cp:lastModifiedBy>Nikolina Žužić</cp:lastModifiedBy>
  <cp:lastPrinted>2016-05-11T05:45:09Z</cp:lastPrinted>
  <dcterms:created xsi:type="dcterms:W3CDTF">2016-04-14T07:27:39Z</dcterms:created>
  <dcterms:modified xsi:type="dcterms:W3CDTF">2016-05-25T12:04:33Z</dcterms:modified>
</cp:coreProperties>
</file>